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baca\sciebo\literature review\root_hydraulic_properties\database\"/>
    </mc:Choice>
  </mc:AlternateContent>
  <xr:revisionPtr revIDLastSave="0" documentId="13_ncr:1_{CB13A137-77F4-40F3-BFA0-64A06379E92D}" xr6:coauthVersionLast="47" xr6:coauthVersionMax="47" xr10:uidLastSave="{00000000-0000-0000-0000-000000000000}"/>
  <bookViews>
    <workbookView xWindow="-120" yWindow="-120" windowWidth="29040" windowHeight="17640" xr2:uid="{DEE2E340-745D-4F66-A0BD-3ECCCD70ADA3}"/>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s>
  <definedNames>
    <definedName name="_xlnm._FilterDatabase" localSheetId="0" hidden="1">Sheet1!$A$1:$AK$1115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4" i="1" l="1"/>
  <c r="J395" i="1"/>
  <c r="W19" i="1"/>
  <c r="J517" i="1"/>
  <c r="J516" i="1"/>
  <c r="J515" i="1"/>
  <c r="J514" i="1"/>
  <c r="J513" i="1"/>
  <c r="J512" i="1"/>
  <c r="J511" i="1"/>
  <c r="J510" i="1"/>
  <c r="J509" i="1"/>
  <c r="J508" i="1"/>
  <c r="J507" i="1"/>
  <c r="J506" i="1"/>
  <c r="J1109" i="1"/>
  <c r="J1108" i="1"/>
  <c r="J1107" i="1"/>
  <c r="J1106" i="1"/>
  <c r="J1105" i="1"/>
  <c r="J1104" i="1"/>
  <c r="J1103" i="1"/>
  <c r="J1102" i="1"/>
  <c r="J1101" i="1"/>
  <c r="J1100" i="1"/>
  <c r="J1099" i="1"/>
  <c r="J1098" i="1"/>
  <c r="J1097" i="1"/>
  <c r="J1096" i="1"/>
  <c r="J405" i="1"/>
  <c r="J404" i="1"/>
  <c r="J403" i="1"/>
  <c r="J402" i="1"/>
  <c r="J401" i="1"/>
  <c r="J400" i="1"/>
  <c r="J399" i="1"/>
  <c r="J398" i="1"/>
  <c r="J397" i="1"/>
  <c r="J396" i="1"/>
  <c r="AC867" i="1"/>
  <c r="AB867" i="1"/>
  <c r="Y867" i="1"/>
  <c r="AC866" i="1"/>
  <c r="AB866" i="1"/>
  <c r="Y866" i="1"/>
  <c r="AC865" i="1"/>
  <c r="AB865" i="1"/>
  <c r="Y865" i="1"/>
  <c r="AC864" i="1"/>
  <c r="AB864" i="1"/>
  <c r="Y864" i="1"/>
  <c r="AC863" i="1"/>
  <c r="AB863" i="1"/>
  <c r="Y863" i="1"/>
  <c r="AC787" i="1"/>
  <c r="AC786" i="1"/>
  <c r="AC785" i="1"/>
  <c r="AC784" i="1"/>
  <c r="AC783" i="1"/>
  <c r="AC782" i="1"/>
  <c r="AC781" i="1"/>
  <c r="AC780" i="1"/>
  <c r="AC779" i="1"/>
  <c r="AC778" i="1"/>
  <c r="AC777" i="1"/>
  <c r="AC776" i="1"/>
  <c r="AC775" i="1"/>
  <c r="AB743" i="1"/>
  <c r="AB742" i="1"/>
  <c r="AB741" i="1"/>
  <c r="AB740" i="1"/>
  <c r="AB739" i="1"/>
  <c r="AB738" i="1"/>
  <c r="AB737" i="1"/>
  <c r="AB736" i="1"/>
  <c r="AB735" i="1"/>
  <c r="AB734" i="1"/>
  <c r="W733" i="1"/>
  <c r="W732" i="1"/>
  <c r="W731" i="1"/>
  <c r="W730" i="1"/>
  <c r="AC713" i="1"/>
  <c r="AB713" i="1"/>
  <c r="Y713" i="1"/>
  <c r="AC712" i="1"/>
  <c r="AB712" i="1"/>
  <c r="Y712" i="1"/>
  <c r="AC711" i="1"/>
  <c r="AB711" i="1"/>
  <c r="Y711" i="1"/>
  <c r="AC710" i="1"/>
  <c r="AB710" i="1"/>
  <c r="Y710" i="1"/>
  <c r="AC709" i="1"/>
  <c r="AB709" i="1"/>
  <c r="Y709" i="1"/>
  <c r="AC708" i="1"/>
  <c r="AB708" i="1"/>
  <c r="Y708" i="1"/>
  <c r="AC707" i="1"/>
  <c r="AB707" i="1"/>
  <c r="Y707" i="1"/>
  <c r="AC706" i="1"/>
  <c r="AB706" i="1"/>
  <c r="Y706" i="1"/>
  <c r="AC705" i="1"/>
  <c r="AB705" i="1"/>
  <c r="Y705" i="1"/>
  <c r="AC704" i="1"/>
  <c r="AB704" i="1"/>
  <c r="Y704" i="1"/>
  <c r="AC703" i="1"/>
  <c r="AB703" i="1"/>
  <c r="Y703" i="1"/>
  <c r="AC702" i="1"/>
  <c r="AB702" i="1"/>
  <c r="Y702" i="1"/>
  <c r="AC701" i="1"/>
  <c r="AB701" i="1"/>
  <c r="Y701" i="1"/>
  <c r="AC700" i="1"/>
  <c r="AB700" i="1"/>
  <c r="Y700" i="1"/>
  <c r="AC699" i="1"/>
  <c r="AB699" i="1"/>
  <c r="Y699" i="1"/>
  <c r="AC698" i="1"/>
  <c r="AB698" i="1"/>
  <c r="Y698" i="1"/>
  <c r="AC697" i="1"/>
  <c r="AB697" i="1"/>
  <c r="Y697" i="1"/>
  <c r="AC696" i="1"/>
  <c r="AB696" i="1"/>
  <c r="Y696" i="1"/>
  <c r="AC695" i="1"/>
  <c r="AB695" i="1"/>
  <c r="Y695" i="1"/>
  <c r="AC694" i="1"/>
  <c r="AB694" i="1"/>
  <c r="Y694" i="1"/>
  <c r="AC672" i="1"/>
  <c r="AC671" i="1"/>
  <c r="AC670" i="1"/>
  <c r="AC669" i="1"/>
  <c r="AC667" i="1"/>
  <c r="AC666" i="1"/>
  <c r="AC665" i="1"/>
  <c r="AC664" i="1"/>
  <c r="AC663" i="1"/>
  <c r="AC662" i="1"/>
  <c r="AC661" i="1"/>
  <c r="AC660" i="1"/>
  <c r="AC659" i="1"/>
  <c r="AC658" i="1"/>
  <c r="AC657" i="1"/>
  <c r="AC656" i="1"/>
  <c r="AC655" i="1"/>
  <c r="AC654" i="1"/>
  <c r="AC653" i="1"/>
  <c r="AC652" i="1"/>
  <c r="AC651" i="1"/>
  <c r="AC650" i="1"/>
  <c r="AC649" i="1"/>
  <c r="AC648" i="1"/>
  <c r="W643" i="1"/>
  <c r="W642" i="1"/>
  <c r="W641" i="1"/>
  <c r="W640" i="1"/>
  <c r="AB606" i="1"/>
  <c r="AB605" i="1"/>
  <c r="W499" i="1"/>
  <c r="W498" i="1"/>
  <c r="W497" i="1"/>
  <c r="W496" i="1"/>
  <c r="W495" i="1"/>
  <c r="W494" i="1"/>
  <c r="W493" i="1"/>
  <c r="W492" i="1"/>
  <c r="W491" i="1"/>
  <c r="W490" i="1"/>
  <c r="W489" i="1"/>
  <c r="W488" i="1"/>
  <c r="W487" i="1"/>
  <c r="W486" i="1"/>
  <c r="W485" i="1"/>
  <c r="W484" i="1"/>
  <c r="AI474" i="1"/>
  <c r="AF474" i="1"/>
  <c r="W474" i="1"/>
  <c r="AI473" i="1"/>
  <c r="AF473" i="1"/>
  <c r="W473" i="1"/>
  <c r="AI472" i="1"/>
  <c r="AF472" i="1"/>
  <c r="W472" i="1"/>
  <c r="AI471" i="1"/>
  <c r="AF471" i="1"/>
  <c r="W471" i="1"/>
  <c r="AI470" i="1"/>
  <c r="AF470" i="1"/>
  <c r="W470" i="1"/>
  <c r="AI469" i="1"/>
  <c r="AF469" i="1"/>
  <c r="W469" i="1"/>
  <c r="AI468" i="1"/>
  <c r="AF468" i="1"/>
  <c r="W468" i="1"/>
  <c r="AI467" i="1"/>
  <c r="AF467" i="1"/>
  <c r="W467" i="1"/>
  <c r="AI466" i="1"/>
  <c r="AF466" i="1"/>
  <c r="W466" i="1"/>
  <c r="AI465" i="1"/>
  <c r="AF465" i="1"/>
  <c r="W465" i="1"/>
  <c r="AI464" i="1"/>
  <c r="AF464" i="1"/>
  <c r="W464" i="1"/>
  <c r="AI463" i="1"/>
  <c r="AF463" i="1"/>
  <c r="W463" i="1"/>
  <c r="AF345" i="1"/>
  <c r="AF344" i="1"/>
  <c r="AF343" i="1"/>
  <c r="AF342" i="1"/>
  <c r="AF341" i="1"/>
  <c r="AF340" i="1"/>
  <c r="AF339" i="1"/>
  <c r="AF338" i="1"/>
  <c r="AF337" i="1"/>
  <c r="AF336" i="1"/>
  <c r="AF335" i="1"/>
  <c r="AF334" i="1"/>
  <c r="AF333" i="1"/>
  <c r="AF332" i="1"/>
  <c r="AF331" i="1"/>
  <c r="AB301" i="1"/>
  <c r="AB300" i="1"/>
  <c r="AB299" i="1"/>
  <c r="AB298" i="1"/>
  <c r="AB297" i="1"/>
  <c r="AB296" i="1"/>
  <c r="AB295" i="1"/>
  <c r="AB294" i="1"/>
  <c r="AI289" i="1"/>
  <c r="AI288" i="1"/>
  <c r="AI287" i="1"/>
  <c r="AI286" i="1"/>
  <c r="AI285" i="1"/>
  <c r="AI284" i="1"/>
  <c r="AI283" i="1"/>
  <c r="AI282" i="1"/>
  <c r="AI281" i="1"/>
  <c r="AA259" i="1"/>
  <c r="AA258" i="1"/>
  <c r="AA257" i="1"/>
  <c r="AA256" i="1"/>
  <c r="AA255" i="1"/>
  <c r="AA254" i="1"/>
  <c r="AA253" i="1"/>
  <c r="AA252" i="1"/>
  <c r="AA251" i="1"/>
  <c r="AA250" i="1"/>
  <c r="AA249" i="1"/>
  <c r="AA248" i="1"/>
  <c r="AA247" i="1"/>
  <c r="AA246" i="1"/>
  <c r="AA245" i="1"/>
  <c r="AA244" i="1"/>
  <c r="AA243" i="1"/>
  <c r="AA242" i="1"/>
  <c r="AA241" i="1"/>
  <c r="AA240" i="1"/>
  <c r="AA239" i="1"/>
  <c r="AB224" i="1"/>
  <c r="AB223" i="1"/>
  <c r="AB222" i="1"/>
  <c r="AB221" i="1"/>
  <c r="AB220" i="1"/>
  <c r="AB219" i="1"/>
  <c r="AB218" i="1"/>
  <c r="AB217" i="1"/>
  <c r="AF95" i="1"/>
  <c r="AB95" i="1"/>
  <c r="AF94" i="1"/>
  <c r="AB94" i="1"/>
  <c r="AF93" i="1"/>
  <c r="AB93" i="1"/>
  <c r="AF92" i="1"/>
  <c r="AB92" i="1"/>
  <c r="AF91" i="1"/>
  <c r="AB91" i="1"/>
  <c r="AF90" i="1"/>
  <c r="AB90" i="1"/>
  <c r="AF89" i="1"/>
  <c r="AB89" i="1"/>
  <c r="AF88" i="1"/>
  <c r="AB88" i="1"/>
  <c r="AF87" i="1"/>
  <c r="AB87" i="1"/>
  <c r="AF86" i="1"/>
  <c r="AB86" i="1"/>
  <c r="AF85" i="1"/>
  <c r="AB85" i="1"/>
  <c r="AF84" i="1"/>
  <c r="AB84" i="1"/>
  <c r="AF83" i="1"/>
  <c r="AB83" i="1"/>
  <c r="AF82" i="1"/>
  <c r="AB82" i="1"/>
  <c r="AB75" i="1"/>
  <c r="AB74" i="1"/>
  <c r="AB73" i="1"/>
  <c r="Y72" i="1"/>
  <c r="Y71" i="1"/>
  <c r="Y70" i="1"/>
  <c r="Y69" i="1"/>
  <c r="Y68" i="1"/>
  <c r="Y67" i="1"/>
  <c r="W18" i="1"/>
  <c r="W17" i="1"/>
  <c r="W16" i="1"/>
  <c r="W15" i="1"/>
  <c r="Z1011" i="1"/>
  <c r="Z1010" i="1"/>
  <c r="Z1009" i="1"/>
  <c r="Z1008" i="1"/>
  <c r="Z1007" i="1"/>
  <c r="Z1006" i="1"/>
  <c r="Z1005" i="1"/>
  <c r="Z1004" i="1"/>
  <c r="X1003" i="1"/>
  <c r="X1002" i="1"/>
  <c r="X1001" i="1"/>
  <c r="X1000" i="1"/>
  <c r="X999" i="1"/>
  <c r="X998" i="1"/>
  <c r="X997" i="1"/>
  <c r="X996" i="1"/>
  <c r="AI915" i="1"/>
  <c r="W915" i="1"/>
  <c r="AI914" i="1"/>
  <c r="W914" i="1"/>
  <c r="AI913" i="1"/>
  <c r="W913" i="1"/>
  <c r="AI912" i="1"/>
  <c r="W912" i="1"/>
  <c r="AI911" i="1"/>
  <c r="W911" i="1"/>
  <c r="AI910" i="1"/>
  <c r="W910" i="1"/>
  <c r="AI909" i="1"/>
  <c r="W909" i="1"/>
  <c r="AI908" i="1"/>
  <c r="W908" i="1"/>
  <c r="AI907" i="1"/>
  <c r="W907" i="1"/>
  <c r="X848" i="1"/>
  <c r="X847" i="1"/>
  <c r="X846" i="1"/>
  <c r="X845" i="1"/>
  <c r="X844" i="1"/>
  <c r="X843" i="1"/>
  <c r="AB823" i="1"/>
  <c r="AB822" i="1"/>
  <c r="AB820" i="1"/>
  <c r="AB819" i="1"/>
  <c r="AB818" i="1"/>
  <c r="Y774" i="1"/>
  <c r="Y773" i="1"/>
  <c r="Y772" i="1"/>
  <c r="Y771" i="1"/>
  <c r="Y770" i="1"/>
  <c r="Y769" i="1"/>
  <c r="Y768" i="1"/>
  <c r="Y767" i="1"/>
  <c r="AI764" i="1"/>
  <c r="AG764" i="1"/>
  <c r="W764" i="1"/>
  <c r="AI763" i="1"/>
  <c r="AG763" i="1"/>
  <c r="W763" i="1"/>
  <c r="AI762" i="1"/>
  <c r="AG762" i="1"/>
  <c r="W762" i="1"/>
  <c r="AA745" i="1"/>
  <c r="AA744" i="1"/>
  <c r="W729" i="1"/>
  <c r="W728" i="1"/>
  <c r="W727" i="1"/>
  <c r="W726" i="1"/>
  <c r="AC723" i="1"/>
  <c r="AC722" i="1"/>
  <c r="AC721" i="1"/>
  <c r="AC720"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Y691" i="1"/>
  <c r="Y690" i="1"/>
  <c r="Y689" i="1"/>
  <c r="Y688" i="1"/>
  <c r="X687" i="1"/>
  <c r="X686" i="1"/>
  <c r="X685" i="1"/>
  <c r="X684" i="1"/>
  <c r="X683" i="1"/>
  <c r="X682" i="1"/>
  <c r="X681" i="1"/>
  <c r="X680" i="1"/>
  <c r="X679" i="1"/>
  <c r="W647" i="1"/>
  <c r="W646" i="1"/>
  <c r="W645" i="1"/>
  <c r="W644" i="1"/>
  <c r="X631" i="1"/>
  <c r="X630" i="1"/>
  <c r="X629" i="1"/>
  <c r="X628" i="1"/>
  <c r="X627" i="1"/>
  <c r="X626" i="1"/>
  <c r="AA619" i="1"/>
  <c r="AA618" i="1"/>
  <c r="AA617" i="1"/>
  <c r="AA616" i="1"/>
  <c r="AA615" i="1"/>
  <c r="AA614" i="1"/>
  <c r="Y564" i="1"/>
  <c r="Y563" i="1"/>
  <c r="Y562" i="1"/>
  <c r="Y561" i="1"/>
  <c r="Y560" i="1"/>
  <c r="Y559" i="1"/>
  <c r="AB532" i="1"/>
  <c r="AB531" i="1"/>
  <c r="AB530" i="1"/>
  <c r="AB529" i="1"/>
  <c r="AB528" i="1"/>
  <c r="AB527" i="1"/>
  <c r="AB517" i="1"/>
  <c r="AB516" i="1"/>
  <c r="AB515" i="1"/>
  <c r="AB514" i="1"/>
  <c r="AB513" i="1"/>
  <c r="AD512" i="1"/>
  <c r="AB512" i="1"/>
  <c r="AB511" i="1"/>
  <c r="AD510" i="1"/>
  <c r="AB510" i="1"/>
  <c r="AB509" i="1"/>
  <c r="AD508" i="1"/>
  <c r="AB508" i="1"/>
  <c r="AB507" i="1"/>
  <c r="AD506" i="1"/>
  <c r="AB506" i="1"/>
  <c r="Y505" i="1"/>
  <c r="Y504" i="1"/>
  <c r="Y503" i="1"/>
  <c r="Y502" i="1"/>
  <c r="Y501" i="1"/>
  <c r="Y500" i="1"/>
  <c r="AF499" i="1"/>
  <c r="AF498" i="1"/>
  <c r="AF497" i="1"/>
  <c r="AF496" i="1"/>
  <c r="AF495" i="1"/>
  <c r="AF494" i="1"/>
  <c r="AF493" i="1"/>
  <c r="AF492" i="1"/>
  <c r="AF491" i="1"/>
  <c r="AF490" i="1"/>
  <c r="AF489" i="1"/>
  <c r="AF488" i="1"/>
  <c r="AF487" i="1"/>
  <c r="AF486" i="1"/>
  <c r="AF485" i="1"/>
  <c r="AF484" i="1"/>
  <c r="Y483" i="1"/>
  <c r="Y482" i="1"/>
  <c r="Y481" i="1"/>
  <c r="Y480" i="1"/>
  <c r="Y479" i="1"/>
  <c r="AJ477" i="1"/>
  <c r="AA477" i="1"/>
  <c r="AJ476" i="1"/>
  <c r="AA476" i="1"/>
  <c r="AJ475" i="1"/>
  <c r="AA475" i="1"/>
  <c r="AB444" i="1"/>
  <c r="AB443" i="1"/>
  <c r="AB442" i="1"/>
  <c r="AB441" i="1"/>
  <c r="AB440" i="1"/>
  <c r="AB439" i="1"/>
  <c r="AB438" i="1"/>
  <c r="AB437" i="1"/>
  <c r="AB436" i="1"/>
  <c r="AB435" i="1"/>
  <c r="AB434" i="1"/>
  <c r="AB433" i="1"/>
  <c r="Y432" i="1"/>
  <c r="Y431" i="1"/>
  <c r="Y430" i="1"/>
  <c r="Y429" i="1"/>
  <c r="Y428" i="1"/>
  <c r="Y427" i="1"/>
  <c r="Y426" i="1"/>
  <c r="Y425" i="1"/>
  <c r="Y424" i="1"/>
  <c r="Y423" i="1"/>
  <c r="Y422" i="1"/>
  <c r="Y421" i="1"/>
  <c r="Y420" i="1"/>
  <c r="Y419" i="1"/>
  <c r="Y418" i="1"/>
  <c r="Y417" i="1"/>
  <c r="W371" i="1"/>
  <c r="W370" i="1"/>
  <c r="W369" i="1"/>
  <c r="W368" i="1"/>
  <c r="W367" i="1"/>
  <c r="W366" i="1"/>
  <c r="W365" i="1"/>
  <c r="W364" i="1"/>
  <c r="W363" i="1"/>
  <c r="W362" i="1"/>
  <c r="W361" i="1"/>
  <c r="W360" i="1"/>
  <c r="W359" i="1"/>
  <c r="AB358" i="1"/>
  <c r="AB371" i="1" s="1"/>
  <c r="AB357" i="1"/>
  <c r="AB370" i="1" s="1"/>
  <c r="AB356" i="1"/>
  <c r="AB369" i="1" s="1"/>
  <c r="AB355" i="1"/>
  <c r="AB368" i="1" s="1"/>
  <c r="AB354" i="1"/>
  <c r="AB367" i="1" s="1"/>
  <c r="AB353" i="1"/>
  <c r="AB366" i="1" s="1"/>
  <c r="AB352" i="1"/>
  <c r="AB365" i="1" s="1"/>
  <c r="AB351" i="1"/>
  <c r="AB364" i="1" s="1"/>
  <c r="AB350" i="1"/>
  <c r="AB363" i="1" s="1"/>
  <c r="AB349" i="1"/>
  <c r="AB362" i="1" s="1"/>
  <c r="AB348" i="1"/>
  <c r="AB361" i="1" s="1"/>
  <c r="AB347" i="1"/>
  <c r="AB360" i="1" s="1"/>
  <c r="AB346" i="1"/>
  <c r="AB359" i="1" s="1"/>
  <c r="Y330" i="1"/>
  <c r="Y329" i="1"/>
  <c r="Y328" i="1"/>
  <c r="Y327" i="1"/>
  <c r="Y326" i="1"/>
  <c r="Y325" i="1"/>
  <c r="Y324" i="1"/>
  <c r="Y323" i="1"/>
  <c r="AB320" i="1"/>
  <c r="AB319" i="1"/>
  <c r="AB318" i="1"/>
  <c r="AB317" i="1"/>
  <c r="AB316" i="1"/>
  <c r="AB315" i="1"/>
  <c r="AB314" i="1"/>
  <c r="AB313" i="1"/>
  <c r="AB312" i="1"/>
  <c r="AB311" i="1"/>
  <c r="AB310" i="1"/>
  <c r="AB309" i="1"/>
  <c r="AA272" i="1"/>
  <c r="AA271" i="1"/>
  <c r="AA270" i="1"/>
  <c r="AA269" i="1"/>
  <c r="AD268" i="1"/>
  <c r="AB268" i="1"/>
  <c r="AD267" i="1"/>
  <c r="AB267" i="1"/>
  <c r="W266" i="1"/>
  <c r="W265" i="1"/>
  <c r="W264" i="1"/>
  <c r="AB206" i="1"/>
  <c r="AB205" i="1"/>
  <c r="AB204" i="1"/>
  <c r="AB203" i="1"/>
  <c r="AD178" i="1"/>
  <c r="AB178" i="1"/>
  <c r="AD177" i="1"/>
  <c r="AB177" i="1"/>
  <c r="AD176" i="1"/>
  <c r="AB176" i="1"/>
  <c r="AD175" i="1"/>
  <c r="AB175" i="1"/>
  <c r="AD174" i="1"/>
  <c r="AB174" i="1"/>
  <c r="AD173" i="1"/>
  <c r="AB173" i="1"/>
  <c r="AD172" i="1"/>
  <c r="AB172" i="1"/>
  <c r="AD171" i="1"/>
  <c r="AB171" i="1"/>
  <c r="AD170" i="1"/>
  <c r="AB170" i="1"/>
  <c r="AD169" i="1"/>
  <c r="AB169" i="1"/>
  <c r="AD168" i="1"/>
  <c r="AB168" i="1"/>
  <c r="AD167" i="1"/>
  <c r="AB167" i="1"/>
  <c r="AD166" i="1"/>
  <c r="AB166" i="1"/>
  <c r="AD165" i="1"/>
  <c r="AB165" i="1"/>
  <c r="AD164" i="1"/>
  <c r="AB164" i="1"/>
  <c r="AD163" i="1"/>
  <c r="AB163" i="1"/>
  <c r="AD162" i="1"/>
  <c r="AB162" i="1"/>
  <c r="AD161" i="1"/>
  <c r="AB161" i="1"/>
  <c r="AD160" i="1"/>
  <c r="AB160" i="1"/>
  <c r="AD159" i="1"/>
  <c r="AB159" i="1"/>
  <c r="AD158" i="1"/>
  <c r="AB158" i="1"/>
  <c r="AD157" i="1"/>
  <c r="AB157" i="1"/>
  <c r="AD156" i="1"/>
  <c r="AB156" i="1"/>
  <c r="AD155" i="1"/>
  <c r="AB155" i="1"/>
  <c r="AD154" i="1"/>
  <c r="AB154" i="1"/>
  <c r="AD153" i="1"/>
  <c r="AB153" i="1"/>
  <c r="AD152" i="1"/>
  <c r="AB152" i="1"/>
  <c r="AD151" i="1"/>
  <c r="AB151" i="1"/>
  <c r="AD150" i="1"/>
  <c r="AB150" i="1"/>
  <c r="AD149" i="1"/>
  <c r="AB149" i="1"/>
  <c r="AD148" i="1"/>
  <c r="AB148" i="1"/>
  <c r="AD147" i="1"/>
  <c r="AB147" i="1"/>
  <c r="AC107" i="1"/>
  <c r="AC106" i="1"/>
  <c r="AC104" i="1"/>
  <c r="AC103" i="1"/>
  <c r="AC101" i="1"/>
  <c r="AC100" i="1"/>
  <c r="AC99" i="1"/>
  <c r="AC98" i="1"/>
  <c r="AC97" i="1"/>
  <c r="AC96" i="1"/>
  <c r="X54" i="1"/>
  <c r="X53" i="1"/>
  <c r="X52" i="1"/>
  <c r="X51" i="1"/>
  <c r="AB50" i="1"/>
  <c r="AB49" i="1"/>
  <c r="AB48" i="1"/>
  <c r="AB47" i="1"/>
  <c r="AB46" i="1"/>
  <c r="AB45" i="1"/>
  <c r="AD44" i="1"/>
  <c r="AB44" i="1"/>
  <c r="AD43" i="1"/>
  <c r="AB43" i="1"/>
  <c r="AD42" i="1"/>
  <c r="AB42" i="1"/>
  <c r="W41" i="1"/>
  <c r="W40" i="1"/>
  <c r="W39" i="1"/>
  <c r="W38" i="1"/>
  <c r="W37" i="1"/>
  <c r="W36" i="1"/>
  <c r="AF11" i="1"/>
  <c r="AA11" i="1"/>
  <c r="AF10" i="1"/>
  <c r="AA10" i="1"/>
  <c r="AE5" i="1"/>
  <c r="AD5" i="1"/>
  <c r="AE4" i="1"/>
  <c r="AD4" i="1"/>
  <c r="AE3" i="1"/>
  <c r="AD3" i="1"/>
  <c r="AE2" i="1"/>
  <c r="AD2" i="1"/>
  <c r="AD1109" i="1"/>
  <c r="AB1109" i="1"/>
  <c r="AD1108" i="1"/>
  <c r="AB1108" i="1"/>
  <c r="AD1107" i="1"/>
  <c r="AB1107" i="1"/>
  <c r="AD1106" i="1"/>
  <c r="AB1106" i="1"/>
  <c r="AD1105" i="1"/>
  <c r="AB1105" i="1"/>
  <c r="AD1104" i="1"/>
  <c r="AB1104" i="1"/>
  <c r="AD1103" i="1"/>
  <c r="AB1103" i="1"/>
  <c r="AD1102" i="1"/>
  <c r="AB1102" i="1"/>
  <c r="AD1101" i="1"/>
  <c r="AB1101" i="1"/>
  <c r="AD1100" i="1"/>
  <c r="AB1100" i="1"/>
  <c r="AD1099" i="1"/>
  <c r="AB1099" i="1"/>
  <c r="AD1098" i="1"/>
  <c r="AB1098" i="1"/>
  <c r="AD1097" i="1"/>
  <c r="AB1097" i="1"/>
  <c r="AD1096" i="1"/>
  <c r="AB1096" i="1"/>
  <c r="AB1079" i="1"/>
  <c r="AB1078" i="1"/>
  <c r="AB1077" i="1"/>
  <c r="AB1076" i="1"/>
  <c r="AB1075" i="1"/>
  <c r="AB1074" i="1"/>
  <c r="AB1073" i="1"/>
  <c r="AB1072" i="1"/>
  <c r="AB1071" i="1"/>
  <c r="AB1070" i="1"/>
  <c r="AB1069" i="1"/>
  <c r="AB1068" i="1"/>
  <c r="AB1067" i="1"/>
  <c r="AB1066" i="1"/>
  <c r="AB1056" i="1"/>
  <c r="AB1055" i="1"/>
  <c r="AB1054" i="1"/>
  <c r="AB1053" i="1"/>
  <c r="AB1052" i="1"/>
  <c r="AB1051" i="1"/>
  <c r="AB1050" i="1"/>
  <c r="AB1049" i="1"/>
  <c r="AB1042" i="1"/>
  <c r="AB1041" i="1"/>
  <c r="AB1040" i="1"/>
  <c r="AB1039" i="1"/>
  <c r="AB1038" i="1"/>
  <c r="AB1037" i="1"/>
  <c r="AB1021" i="1"/>
  <c r="AB1020" i="1"/>
  <c r="AB1019" i="1"/>
  <c r="AB1018" i="1"/>
  <c r="AB1017" i="1"/>
  <c r="AB1016" i="1"/>
  <c r="AB1015" i="1"/>
  <c r="AB1014" i="1"/>
  <c r="AB1013" i="1"/>
  <c r="AB1012" i="1"/>
  <c r="AE995" i="1"/>
  <c r="Z995" i="1"/>
  <c r="AE994" i="1"/>
  <c r="Z994" i="1"/>
  <c r="AE993" i="1"/>
  <c r="Z993" i="1"/>
  <c r="AE992" i="1"/>
  <c r="Z992" i="1"/>
  <c r="AE991" i="1"/>
  <c r="Z991" i="1"/>
  <c r="AE990" i="1"/>
  <c r="Z990" i="1"/>
  <c r="AE989" i="1"/>
  <c r="Z989" i="1"/>
  <c r="AE988" i="1"/>
  <c r="Z988" i="1"/>
  <c r="W977" i="1"/>
  <c r="W976" i="1"/>
  <c r="W975" i="1"/>
  <c r="W974" i="1"/>
  <c r="W973" i="1"/>
  <c r="W972" i="1"/>
  <c r="AI897" i="1"/>
  <c r="AC897" i="1"/>
  <c r="AI896" i="1"/>
  <c r="AC896" i="1"/>
  <c r="AI895" i="1"/>
  <c r="AC895" i="1"/>
  <c r="AI894" i="1"/>
  <c r="AC894" i="1"/>
  <c r="AI893" i="1"/>
  <c r="AC893" i="1"/>
  <c r="AI892" i="1"/>
  <c r="AC892" i="1"/>
  <c r="AI891" i="1"/>
  <c r="AC891" i="1"/>
  <c r="AI890" i="1"/>
  <c r="AC890" i="1"/>
  <c r="AI889" i="1"/>
  <c r="AC889" i="1"/>
  <c r="AI888" i="1"/>
  <c r="AC888" i="1"/>
  <c r="AI887" i="1"/>
  <c r="AC887" i="1"/>
  <c r="AI886" i="1"/>
  <c r="AC886" i="1"/>
  <c r="AI885" i="1"/>
  <c r="AC885" i="1"/>
  <c r="AI884" i="1"/>
  <c r="AC884" i="1"/>
  <c r="AI883" i="1"/>
  <c r="AC883" i="1"/>
  <c r="AI882" i="1"/>
  <c r="AC882" i="1"/>
  <c r="AI881" i="1"/>
  <c r="AC881" i="1"/>
  <c r="AI880" i="1"/>
  <c r="AC880" i="1"/>
  <c r="AI879" i="1"/>
  <c r="AC879" i="1"/>
  <c r="AI878" i="1"/>
  <c r="AC878" i="1"/>
  <c r="AI877" i="1"/>
  <c r="AC877" i="1"/>
  <c r="AI876" i="1"/>
  <c r="AC876" i="1"/>
  <c r="AI875" i="1"/>
  <c r="AC875" i="1"/>
  <c r="AI874" i="1"/>
  <c r="AC874" i="1"/>
  <c r="AI873" i="1"/>
  <c r="AC873" i="1"/>
  <c r="AI872" i="1"/>
  <c r="AC872" i="1"/>
  <c r="AI871" i="1"/>
  <c r="AC871" i="1"/>
  <c r="AI870" i="1"/>
  <c r="AC870" i="1"/>
  <c r="AI869" i="1"/>
  <c r="AC869" i="1"/>
  <c r="AI868" i="1"/>
  <c r="AC868" i="1"/>
  <c r="W766" i="1"/>
  <c r="W765" i="1"/>
  <c r="AB625" i="1"/>
  <c r="AB624" i="1"/>
  <c r="AB592" i="1"/>
  <c r="AB604" i="1" s="1"/>
  <c r="AB591" i="1"/>
  <c r="AB603" i="1" s="1"/>
  <c r="AB590" i="1"/>
  <c r="AB602" i="1" s="1"/>
  <c r="AB589" i="1"/>
  <c r="AB601" i="1" s="1"/>
  <c r="AB588" i="1"/>
  <c r="AB600" i="1" s="1"/>
  <c r="AB587" i="1"/>
  <c r="AB599" i="1" s="1"/>
  <c r="AB586" i="1"/>
  <c r="AB598" i="1" s="1"/>
  <c r="AB585" i="1"/>
  <c r="AB597" i="1" s="1"/>
  <c r="AB584" i="1"/>
  <c r="AB596" i="1" s="1"/>
  <c r="AB583" i="1"/>
  <c r="AB595" i="1" s="1"/>
  <c r="AB582" i="1"/>
  <c r="AB594" i="1" s="1"/>
  <c r="AB581" i="1"/>
  <c r="AB593" i="1" s="1"/>
  <c r="Y526" i="1"/>
  <c r="Y525" i="1"/>
  <c r="Y524" i="1"/>
  <c r="Y523" i="1"/>
  <c r="Y522" i="1"/>
  <c r="Y521" i="1"/>
  <c r="Y520" i="1"/>
  <c r="Y519" i="1"/>
  <c r="AB410" i="1"/>
  <c r="AB409" i="1"/>
  <c r="AB408" i="1"/>
  <c r="AB407" i="1"/>
  <c r="AB406" i="1"/>
  <c r="AD405" i="1"/>
  <c r="W405" i="1"/>
  <c r="AD404" i="1"/>
  <c r="W404" i="1"/>
  <c r="AD403" i="1"/>
  <c r="W403" i="1"/>
  <c r="W402" i="1"/>
  <c r="W401" i="1"/>
  <c r="W400" i="1"/>
  <c r="W399" i="1"/>
  <c r="W398" i="1"/>
  <c r="W397" i="1"/>
  <c r="AD396" i="1"/>
  <c r="W396" i="1"/>
  <c r="AD395" i="1"/>
  <c r="W395" i="1"/>
  <c r="AD394" i="1"/>
  <c r="W394" i="1"/>
  <c r="AF308" i="1"/>
  <c r="W308" i="1"/>
  <c r="AF307" i="1"/>
  <c r="W307" i="1"/>
  <c r="AF306" i="1"/>
  <c r="W306" i="1"/>
  <c r="AF305" i="1"/>
  <c r="W305" i="1"/>
  <c r="AF304" i="1"/>
  <c r="W304" i="1"/>
  <c r="AF303" i="1"/>
  <c r="W303" i="1"/>
  <c r="AF302" i="1"/>
  <c r="W302" i="1"/>
  <c r="AI293" i="1"/>
  <c r="AD293" i="1"/>
  <c r="AB293" i="1"/>
  <c r="AI292" i="1"/>
  <c r="AD292" i="1"/>
  <c r="AB292" i="1"/>
  <c r="AI291" i="1"/>
  <c r="AD291" i="1"/>
  <c r="AB291" i="1"/>
  <c r="AI290" i="1"/>
  <c r="AD290" i="1"/>
  <c r="AB290" i="1"/>
  <c r="AB280" i="1"/>
  <c r="W280" i="1"/>
  <c r="AB279" i="1"/>
  <c r="W279" i="1"/>
  <c r="AB278" i="1"/>
  <c r="W278" i="1"/>
  <c r="AB277" i="1"/>
  <c r="W277" i="1"/>
  <c r="AB276" i="1"/>
  <c r="W276" i="1"/>
  <c r="AB275" i="1"/>
  <c r="W275" i="1"/>
  <c r="AB274" i="1"/>
  <c r="W274" i="1"/>
  <c r="AB273" i="1"/>
  <c r="W273" i="1"/>
  <c r="AD263" i="1"/>
  <c r="AB263" i="1"/>
  <c r="AD262" i="1"/>
  <c r="AB262" i="1"/>
  <c r="AD261" i="1"/>
  <c r="AB261" i="1"/>
  <c r="AD260" i="1"/>
  <c r="AB260" i="1"/>
  <c r="X232" i="1"/>
  <c r="X231" i="1"/>
  <c r="X230" i="1"/>
  <c r="X229" i="1"/>
  <c r="X228" i="1"/>
  <c r="X227" i="1"/>
  <c r="X226" i="1"/>
  <c r="X225" i="1"/>
  <c r="AB214" i="1"/>
  <c r="AB213" i="1"/>
  <c r="AB212" i="1"/>
  <c r="AB211" i="1"/>
  <c r="AB210" i="1"/>
  <c r="AB209" i="1"/>
  <c r="AB208" i="1"/>
  <c r="AB207" i="1"/>
  <c r="AB143" i="1"/>
  <c r="W143" i="1"/>
  <c r="AB142" i="1"/>
  <c r="W142" i="1"/>
  <c r="AB141" i="1"/>
  <c r="W141" i="1"/>
  <c r="AB140" i="1"/>
  <c r="W140" i="1"/>
  <c r="AB139" i="1"/>
  <c r="W139" i="1"/>
  <c r="AB138" i="1"/>
  <c r="W138" i="1"/>
  <c r="W137" i="1"/>
  <c r="AB136" i="1"/>
  <c r="W136" i="1"/>
  <c r="AB135" i="1"/>
  <c r="W135" i="1"/>
  <c r="AB134" i="1"/>
  <c r="W134" i="1"/>
  <c r="AB133" i="1"/>
  <c r="W133" i="1"/>
  <c r="AB132" i="1"/>
  <c r="W132" i="1"/>
  <c r="AB131" i="1"/>
  <c r="W131" i="1"/>
  <c r="AB130" i="1"/>
  <c r="W130" i="1"/>
  <c r="W129" i="1"/>
  <c r="AB128" i="1"/>
  <c r="W128" i="1"/>
  <c r="AB117" i="1"/>
  <c r="AB116" i="1"/>
  <c r="AB115" i="1"/>
  <c r="AB114" i="1"/>
  <c r="Y66" i="1"/>
  <c r="Y65" i="1"/>
  <c r="Y64" i="1"/>
  <c r="Y63" i="1"/>
  <c r="W62" i="1"/>
  <c r="W61" i="1"/>
  <c r="W60" i="1"/>
  <c r="W59" i="1"/>
  <c r="AC35" i="1"/>
  <c r="AC34" i="1"/>
  <c r="AC33" i="1"/>
  <c r="AD22" i="1"/>
  <c r="AB22" i="1"/>
  <c r="W22" i="1"/>
  <c r="AD21" i="1"/>
  <c r="AB21" i="1"/>
  <c r="W21" i="1"/>
  <c r="AD20" i="1"/>
  <c r="AB20" i="1"/>
  <c r="W20" i="1"/>
  <c r="AD19" i="1"/>
  <c r="AB19" i="1"/>
  <c r="M691" i="1"/>
  <c r="M690" i="1"/>
  <c r="M689" i="1"/>
  <c r="M688" i="1"/>
  <c r="J691" i="1"/>
  <c r="J690" i="1"/>
  <c r="J689" i="1"/>
  <c r="J688" i="1"/>
  <c r="Y609" i="1"/>
  <c r="Y613" i="1" s="1"/>
  <c r="M609" i="1"/>
  <c r="J613" i="1"/>
  <c r="J612" i="1"/>
  <c r="J611" i="1"/>
  <c r="J610" i="1"/>
  <c r="J609"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W386" i="1"/>
  <c r="W385" i="1"/>
  <c r="W384" i="1"/>
  <c r="W383" i="1"/>
  <c r="W382" i="1"/>
  <c r="W381" i="1"/>
  <c r="W380" i="1"/>
  <c r="W379" i="1"/>
  <c r="W378" i="1"/>
  <c r="W377" i="1"/>
  <c r="J386" i="1"/>
  <c r="J385" i="1"/>
  <c r="J384" i="1"/>
  <c r="J383" i="1"/>
  <c r="J382" i="1"/>
  <c r="J381" i="1"/>
  <c r="J380" i="1"/>
  <c r="J379" i="1"/>
  <c r="J378" i="1"/>
  <c r="J377" i="1"/>
  <c r="M11" i="1"/>
  <c r="M10" i="1"/>
  <c r="J11" i="1"/>
  <c r="J10" i="1"/>
  <c r="M403" i="1"/>
  <c r="M400" i="1"/>
  <c r="M397" i="1"/>
  <c r="X817" i="1"/>
  <c r="X816" i="1"/>
  <c r="O1036" i="1"/>
  <c r="O1035" i="1"/>
  <c r="O1034" i="1"/>
  <c r="O1033" i="1"/>
  <c r="O1032" i="1"/>
  <c r="O1031" i="1"/>
  <c r="O960" i="1"/>
  <c r="O959" i="1"/>
  <c r="O958" i="1"/>
  <c r="O957" i="1"/>
  <c r="O956" i="1"/>
  <c r="O955" i="1"/>
  <c r="O954" i="1"/>
  <c r="O953" i="1"/>
  <c r="O952" i="1"/>
  <c r="O951" i="1"/>
  <c r="O950" i="1"/>
  <c r="O949" i="1"/>
  <c r="O647" i="1"/>
  <c r="O646" i="1"/>
  <c r="O645" i="1"/>
  <c r="O644" i="1"/>
  <c r="O570" i="1"/>
  <c r="O569" i="1"/>
  <c r="O568" i="1"/>
  <c r="O567" i="1"/>
  <c r="O566" i="1"/>
  <c r="O565" i="1"/>
  <c r="O532" i="1"/>
  <c r="O531" i="1"/>
  <c r="O530" i="1"/>
  <c r="O529" i="1"/>
  <c r="O528" i="1"/>
  <c r="O527" i="1"/>
  <c r="O517" i="1"/>
  <c r="O516" i="1"/>
  <c r="O515" i="1"/>
  <c r="O514" i="1"/>
  <c r="O513" i="1"/>
  <c r="O512" i="1"/>
  <c r="O511" i="1"/>
  <c r="O510" i="1"/>
  <c r="O509" i="1"/>
  <c r="O508" i="1"/>
  <c r="O507" i="1"/>
  <c r="O506" i="1"/>
  <c r="O499" i="1"/>
  <c r="O498" i="1"/>
  <c r="O497" i="1"/>
  <c r="O496" i="1"/>
  <c r="O495" i="1"/>
  <c r="O494" i="1"/>
  <c r="O493" i="1"/>
  <c r="O492" i="1"/>
  <c r="O491" i="1"/>
  <c r="O490" i="1"/>
  <c r="O489" i="1"/>
  <c r="O488" i="1"/>
  <c r="O487" i="1"/>
  <c r="O486" i="1"/>
  <c r="O485" i="1"/>
  <c r="O484" i="1"/>
  <c r="O444" i="1"/>
  <c r="O443" i="1"/>
  <c r="O442" i="1"/>
  <c r="O441" i="1"/>
  <c r="O440" i="1"/>
  <c r="O439" i="1"/>
  <c r="O438" i="1"/>
  <c r="O437" i="1"/>
  <c r="O436" i="1"/>
  <c r="O435" i="1"/>
  <c r="O434" i="1"/>
  <c r="O433" i="1"/>
  <c r="O432" i="1"/>
  <c r="O431" i="1"/>
  <c r="O430" i="1"/>
  <c r="O429" i="1"/>
  <c r="O428" i="1"/>
  <c r="O427" i="1"/>
  <c r="O426" i="1"/>
  <c r="O425" i="1"/>
  <c r="O263" i="1"/>
  <c r="O262" i="1"/>
  <c r="O261" i="1"/>
  <c r="O260" i="1"/>
  <c r="O259" i="1"/>
  <c r="O258" i="1"/>
  <c r="O257" i="1"/>
  <c r="O256" i="1"/>
  <c r="O255" i="1"/>
  <c r="O254" i="1"/>
  <c r="O253" i="1"/>
  <c r="O252" i="1"/>
  <c r="O251" i="1"/>
  <c r="O250" i="1"/>
  <c r="O249" i="1"/>
  <c r="O248" i="1"/>
  <c r="O202" i="1"/>
  <c r="O201" i="1"/>
  <c r="O200" i="1"/>
  <c r="O199" i="1"/>
  <c r="O198" i="1"/>
  <c r="O197" i="1"/>
  <c r="O196" i="1"/>
  <c r="O195" i="1"/>
  <c r="O194" i="1"/>
  <c r="O193" i="1"/>
  <c r="O192" i="1"/>
  <c r="O191" i="1"/>
  <c r="O190" i="1"/>
  <c r="O189" i="1"/>
  <c r="O188" i="1"/>
  <c r="O187" i="1"/>
  <c r="O186" i="1"/>
  <c r="O185" i="1"/>
  <c r="O184" i="1"/>
  <c r="O183" i="1"/>
  <c r="O182" i="1"/>
  <c r="O181" i="1"/>
  <c r="O180" i="1"/>
  <c r="O179" i="1"/>
  <c r="O125" i="1"/>
  <c r="O124" i="1"/>
  <c r="O123" i="1"/>
  <c r="O122" i="1"/>
  <c r="O121" i="1"/>
  <c r="O120" i="1"/>
  <c r="O119" i="1"/>
  <c r="O118" i="1"/>
  <c r="O117" i="1"/>
  <c r="O116" i="1"/>
  <c r="O115" i="1"/>
  <c r="O114" i="1"/>
  <c r="O50" i="1"/>
  <c r="O49" i="1"/>
  <c r="O48" i="1"/>
  <c r="O47" i="1"/>
  <c r="O46" i="1"/>
  <c r="O45" i="1"/>
  <c r="O18" i="1"/>
  <c r="O17" i="1"/>
  <c r="O16" i="1"/>
  <c r="O15" i="1"/>
  <c r="Y610" i="1" l="1"/>
  <c r="Y611" i="1"/>
  <c r="Y612" i="1"/>
  <c r="M274" i="1"/>
  <c r="M275" i="1"/>
  <c r="M276" i="1"/>
  <c r="M277" i="1"/>
  <c r="M278" i="1"/>
  <c r="M279" i="1"/>
  <c r="M280" i="1"/>
  <c r="M2" i="1"/>
  <c r="M3" i="1"/>
  <c r="M4" i="1"/>
  <c r="M5" i="1"/>
  <c r="M6" i="1"/>
  <c r="M7" i="1"/>
  <c r="M8" i="1"/>
  <c r="M9" i="1"/>
  <c r="M12" i="1"/>
  <c r="M13" i="1"/>
  <c r="M14" i="1"/>
  <c r="M15" i="1"/>
  <c r="M16" i="1"/>
  <c r="M17" i="1"/>
  <c r="M18" i="1"/>
  <c r="M19" i="1"/>
  <c r="M20" i="1"/>
  <c r="M21" i="1"/>
  <c r="M22"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82" i="1"/>
  <c r="M83" i="1"/>
  <c r="M84" i="1"/>
  <c r="M85" i="1"/>
  <c r="M86" i="1"/>
  <c r="M87" i="1"/>
  <c r="M88" i="1"/>
  <c r="M89" i="1"/>
  <c r="M90" i="1"/>
  <c r="M91" i="1"/>
  <c r="M92" i="1"/>
  <c r="M93" i="1"/>
  <c r="M94" i="1"/>
  <c r="M95" i="1"/>
  <c r="M96" i="1"/>
  <c r="M97" i="1"/>
  <c r="M98" i="1"/>
  <c r="M99" i="1"/>
  <c r="M100" i="1"/>
  <c r="M101" i="1"/>
  <c r="M102" i="1"/>
  <c r="M103" i="1"/>
  <c r="M104" i="1"/>
  <c r="M105" i="1"/>
  <c r="M106" i="1"/>
  <c r="M107" i="1"/>
  <c r="M114" i="1"/>
  <c r="M115" i="1"/>
  <c r="M116" i="1"/>
  <c r="M117" i="1"/>
  <c r="M118" i="1"/>
  <c r="M119" i="1"/>
  <c r="M120" i="1"/>
  <c r="M121" i="1"/>
  <c r="M122" i="1"/>
  <c r="M123" i="1"/>
  <c r="M124" i="1"/>
  <c r="M125" i="1"/>
  <c r="M128" i="1"/>
  <c r="M129" i="1"/>
  <c r="M130" i="1"/>
  <c r="M131" i="1"/>
  <c r="M132" i="1"/>
  <c r="M133" i="1"/>
  <c r="M134" i="1"/>
  <c r="M135" i="1"/>
  <c r="M136" i="1"/>
  <c r="M137" i="1"/>
  <c r="M138" i="1"/>
  <c r="M139" i="1"/>
  <c r="M140" i="1"/>
  <c r="M141" i="1"/>
  <c r="M142" i="1"/>
  <c r="M143"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81" i="1"/>
  <c r="M282" i="1"/>
  <c r="M283" i="1"/>
  <c r="M284" i="1"/>
  <c r="M285" i="1"/>
  <c r="M286" i="1"/>
  <c r="M287" i="1"/>
  <c r="M288" i="1"/>
  <c r="M289"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40" i="1"/>
  <c r="M343" i="1"/>
  <c r="M387" i="1"/>
  <c r="M388" i="1"/>
  <c r="M389" i="1"/>
  <c r="M390" i="1"/>
  <c r="M391" i="1"/>
  <c r="M392" i="1"/>
  <c r="M394" i="1"/>
  <c r="M406" i="1"/>
  <c r="M407" i="1"/>
  <c r="M408" i="1"/>
  <c r="M409" i="1"/>
  <c r="M410" i="1"/>
  <c r="M411" i="1"/>
  <c r="M412" i="1"/>
  <c r="M413" i="1"/>
  <c r="M414"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3" i="1"/>
  <c r="M464" i="1"/>
  <c r="M465" i="1"/>
  <c r="M466" i="1"/>
  <c r="M467" i="1"/>
  <c r="M468" i="1"/>
  <c r="M469" i="1"/>
  <c r="M470" i="1"/>
  <c r="M471" i="1"/>
  <c r="M472" i="1"/>
  <c r="M473" i="1"/>
  <c r="M474"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59" i="1"/>
  <c r="M560" i="1"/>
  <c r="M561" i="1"/>
  <c r="M562" i="1"/>
  <c r="M563" i="1"/>
  <c r="M564" i="1"/>
  <c r="M565" i="1"/>
  <c r="M566" i="1"/>
  <c r="M567" i="1"/>
  <c r="M568" i="1"/>
  <c r="M569" i="1"/>
  <c r="M570" i="1"/>
  <c r="M571"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80" i="1"/>
  <c r="M681" i="1"/>
  <c r="M682" i="1"/>
  <c r="M684" i="1"/>
  <c r="M685" i="1"/>
  <c r="M686" i="1"/>
  <c r="M687"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8" i="1"/>
  <c r="M749" i="1"/>
  <c r="M750" i="1"/>
  <c r="M751" i="1"/>
  <c r="M752" i="1"/>
  <c r="M753" i="1"/>
  <c r="M765" i="1"/>
  <c r="M766" i="1"/>
  <c r="M767" i="1"/>
  <c r="M768" i="1"/>
  <c r="M769" i="1"/>
  <c r="M770" i="1"/>
  <c r="M771" i="1"/>
  <c r="M772" i="1"/>
  <c r="M773" i="1"/>
  <c r="M774" i="1"/>
  <c r="M802" i="1"/>
  <c r="M803" i="1"/>
  <c r="M804" i="1"/>
  <c r="M805" i="1"/>
  <c r="M807" i="1"/>
  <c r="M808" i="1"/>
  <c r="M811" i="1"/>
  <c r="M812" i="1"/>
  <c r="M814" i="1"/>
  <c r="M815" i="1"/>
  <c r="M816" i="1"/>
  <c r="M817" i="1"/>
  <c r="M829" i="1"/>
  <c r="M830" i="1"/>
  <c r="M831" i="1"/>
  <c r="M832" i="1"/>
  <c r="M833" i="1"/>
  <c r="M834" i="1"/>
  <c r="M835" i="1"/>
  <c r="M836" i="1"/>
  <c r="M837" i="1"/>
  <c r="M838" i="1"/>
  <c r="M839" i="1"/>
  <c r="M840" i="1"/>
  <c r="M841" i="1"/>
  <c r="M842" i="1"/>
  <c r="M843" i="1"/>
  <c r="M844" i="1"/>
  <c r="M845" i="1"/>
  <c r="M846" i="1"/>
  <c r="M847" i="1"/>
  <c r="M848" i="1"/>
  <c r="M898" i="1"/>
  <c r="M899" i="1"/>
  <c r="M900" i="1"/>
  <c r="M901" i="1"/>
  <c r="M902" i="1"/>
  <c r="M903" i="1"/>
  <c r="M904" i="1"/>
  <c r="M905" i="1"/>
  <c r="M916" i="1"/>
  <c r="M917" i="1"/>
  <c r="M918" i="1"/>
  <c r="M919" i="1"/>
  <c r="M920" i="1"/>
  <c r="M921" i="1"/>
  <c r="M922" i="1"/>
  <c r="M923" i="1"/>
  <c r="M924" i="1"/>
  <c r="M925" i="1"/>
  <c r="M926" i="1"/>
  <c r="M927" i="1"/>
  <c r="M928" i="1"/>
  <c r="M929" i="1"/>
  <c r="M930" i="1"/>
  <c r="M931" i="1"/>
  <c r="M932" i="1"/>
  <c r="M933" i="1"/>
  <c r="M934" i="1"/>
  <c r="M935" i="1"/>
  <c r="M939" i="1"/>
  <c r="M940" i="1"/>
  <c r="M943" i="1"/>
  <c r="M944" i="1"/>
  <c r="M945" i="1"/>
  <c r="M946" i="1"/>
  <c r="M947" i="1"/>
  <c r="M948" i="1"/>
  <c r="M949" i="1"/>
  <c r="M950" i="1"/>
  <c r="M951" i="1"/>
  <c r="M952" i="1"/>
  <c r="M953" i="1"/>
  <c r="M954" i="1"/>
  <c r="M955" i="1"/>
  <c r="M956" i="1"/>
  <c r="M957" i="1"/>
  <c r="M958" i="1"/>
  <c r="M959" i="1"/>
  <c r="M960" i="1"/>
  <c r="M961" i="1"/>
  <c r="M962" i="1"/>
  <c r="M963" i="1"/>
  <c r="M964" i="1"/>
  <c r="M965" i="1"/>
  <c r="M972" i="1"/>
  <c r="M973" i="1"/>
  <c r="M974" i="1"/>
  <c r="M975" i="1"/>
  <c r="M976" i="1"/>
  <c r="M977" i="1"/>
  <c r="M988" i="1"/>
  <c r="M989" i="1"/>
  <c r="M990" i="1"/>
  <c r="M991" i="1"/>
  <c r="M992" i="1"/>
  <c r="M993" i="1"/>
  <c r="M994" i="1"/>
  <c r="M995" i="1"/>
  <c r="M996" i="1"/>
  <c r="M997" i="1"/>
  <c r="M998" i="1"/>
  <c r="M999" i="1"/>
  <c r="M1000" i="1"/>
  <c r="M1001" i="1"/>
  <c r="M1002" i="1"/>
  <c r="M1003" i="1"/>
  <c r="M1012" i="1"/>
  <c r="M1013" i="1"/>
  <c r="M1014" i="1"/>
  <c r="M1015" i="1"/>
  <c r="M1016" i="1"/>
  <c r="M1017" i="1"/>
  <c r="M1018" i="1"/>
  <c r="M1019" i="1"/>
  <c r="M1020" i="1"/>
  <c r="M1021" i="1"/>
  <c r="M1031" i="1"/>
  <c r="M1032" i="1"/>
  <c r="M1033" i="1"/>
  <c r="M1034" i="1"/>
  <c r="M1035" i="1"/>
  <c r="M1036" i="1"/>
  <c r="M1037" i="1"/>
  <c r="M1038" i="1"/>
  <c r="M1039" i="1"/>
  <c r="M1040" i="1"/>
  <c r="M1041" i="1"/>
  <c r="M1042" i="1"/>
  <c r="M1049" i="1"/>
  <c r="M1050" i="1"/>
  <c r="M1051" i="1"/>
  <c r="M1052" i="1"/>
  <c r="M1053" i="1"/>
  <c r="M1054" i="1"/>
  <c r="M1055" i="1"/>
  <c r="M1056" i="1"/>
  <c r="M1091" i="1"/>
  <c r="M1092" i="1"/>
  <c r="M1093" i="1"/>
  <c r="M1094" i="1"/>
  <c r="M1095" i="1"/>
  <c r="M273" i="1"/>
  <c r="W899" i="1" l="1"/>
  <c r="W898" i="1"/>
  <c r="W832" i="1"/>
  <c r="W831" i="1"/>
  <c r="W830" i="1"/>
  <c r="W829" i="1"/>
  <c r="W827" i="1"/>
  <c r="W826" i="1"/>
  <c r="W825" i="1"/>
  <c r="W824" i="1"/>
  <c r="W821" i="1"/>
  <c r="W1086" i="1"/>
  <c r="W1085" i="1"/>
  <c r="W1084" i="1"/>
  <c r="W1083" i="1"/>
  <c r="W1082" i="1"/>
  <c r="W1081" i="1"/>
  <c r="W416" i="1"/>
  <c r="W415" i="1"/>
  <c r="W1080" i="1"/>
  <c r="W983" i="1"/>
  <c r="W982" i="1"/>
  <c r="W981" i="1"/>
  <c r="W980" i="1"/>
  <c r="W979" i="1"/>
  <c r="W978" i="1"/>
  <c r="W971" i="1"/>
  <c r="W969" i="1"/>
  <c r="W968" i="1"/>
  <c r="W966" i="1"/>
  <c r="W862" i="1"/>
  <c r="W861" i="1"/>
  <c r="W860" i="1"/>
  <c r="W859" i="1"/>
  <c r="W858" i="1"/>
  <c r="W857" i="1"/>
  <c r="W856" i="1"/>
  <c r="W855" i="1"/>
  <c r="W854" i="1"/>
  <c r="W853" i="1"/>
  <c r="W852" i="1"/>
  <c r="W851" i="1"/>
  <c r="W850" i="1"/>
  <c r="W849" i="1"/>
  <c r="W761" i="1"/>
  <c r="W760" i="1"/>
  <c r="W759" i="1"/>
  <c r="W758" i="1"/>
  <c r="W757" i="1"/>
  <c r="W756" i="1"/>
  <c r="W755" i="1"/>
  <c r="W754" i="1"/>
  <c r="W577" i="1"/>
  <c r="W576" i="1"/>
  <c r="W575" i="1"/>
  <c r="W574" i="1"/>
  <c r="W573" i="1"/>
  <c r="W572" i="1"/>
  <c r="W540" i="1"/>
  <c r="W539" i="1"/>
  <c r="W538" i="1"/>
  <c r="W537" i="1"/>
  <c r="W536" i="1"/>
  <c r="W535" i="1"/>
  <c r="W534" i="1"/>
  <c r="W533" i="1"/>
  <c r="W202" i="1"/>
  <c r="W201" i="1"/>
  <c r="W200" i="1"/>
  <c r="W199" i="1"/>
  <c r="W198" i="1"/>
  <c r="W197" i="1"/>
  <c r="W196" i="1"/>
  <c r="W195" i="1"/>
  <c r="W194" i="1"/>
  <c r="W193" i="1"/>
  <c r="W192" i="1"/>
  <c r="W191" i="1"/>
  <c r="W190" i="1"/>
  <c r="W189" i="1"/>
  <c r="W188" i="1"/>
  <c r="W187" i="1"/>
  <c r="W186" i="1"/>
  <c r="W185" i="1"/>
  <c r="W184" i="1"/>
  <c r="W183" i="1"/>
  <c r="W182" i="1"/>
  <c r="W181" i="1"/>
  <c r="W180" i="1"/>
  <c r="W179" i="1"/>
  <c r="J1090" i="1" l="1"/>
  <c r="AB1090" i="1"/>
  <c r="J1089" i="1"/>
  <c r="J1088" i="1"/>
  <c r="J1087" i="1"/>
  <c r="AB985" i="1"/>
  <c r="AB984" i="1"/>
  <c r="J984" i="1"/>
  <c r="J985" i="1"/>
  <c r="W818" i="1" l="1"/>
  <c r="W819" i="1"/>
  <c r="W820" i="1"/>
  <c r="W822" i="1"/>
  <c r="W823" i="1"/>
  <c r="J745" i="1" l="1"/>
  <c r="J744" i="1"/>
  <c r="J729" i="1" l="1"/>
  <c r="J728" i="1"/>
  <c r="J727" i="1"/>
  <c r="J726" i="1"/>
  <c r="W693" i="1"/>
  <c r="W692" i="1"/>
  <c r="X608" i="1"/>
  <c r="X607" i="1"/>
  <c r="Z523" i="1" l="1"/>
  <c r="AD513" i="1"/>
  <c r="W513" i="1" s="1"/>
  <c r="AD511" i="1"/>
  <c r="AD509" i="1"/>
  <c r="AD507" i="1"/>
  <c r="W511" i="1" l="1"/>
  <c r="W509" i="1"/>
  <c r="W506" i="1"/>
  <c r="W512" i="1"/>
  <c r="W508" i="1"/>
  <c r="W510" i="1"/>
  <c r="W507" i="1"/>
  <c r="J256" i="1"/>
  <c r="X118" i="1"/>
  <c r="W118" i="1" s="1"/>
  <c r="J54" i="1" l="1"/>
  <c r="J53" i="1"/>
  <c r="J52" i="1"/>
  <c r="J51" i="1"/>
  <c r="Y12" i="1" l="1"/>
  <c r="J14" i="1" l="1"/>
  <c r="J1057" i="1"/>
  <c r="J1003" i="1"/>
  <c r="J1002" i="1"/>
  <c r="J1001" i="1"/>
  <c r="J1000" i="1"/>
  <c r="J999" i="1"/>
  <c r="J998" i="1"/>
  <c r="J997" i="1"/>
  <c r="J996" i="1"/>
  <c r="J774" i="1"/>
  <c r="J773" i="1"/>
  <c r="J772" i="1"/>
  <c r="J771" i="1"/>
  <c r="J770" i="1"/>
  <c r="J769" i="1"/>
  <c r="J562" i="1"/>
  <c r="J561" i="1"/>
  <c r="J483" i="1"/>
  <c r="J482" i="1"/>
  <c r="J259" i="1"/>
  <c r="J258" i="1"/>
  <c r="J257" i="1"/>
  <c r="J255" i="1"/>
  <c r="J254" i="1"/>
  <c r="J253" i="1"/>
  <c r="J252" i="1"/>
  <c r="J251" i="1"/>
  <c r="J250" i="1"/>
  <c r="J249" i="1"/>
  <c r="J248" i="1"/>
  <c r="J247" i="1"/>
  <c r="J246" i="1"/>
  <c r="J245" i="1"/>
  <c r="J244" i="1"/>
  <c r="J243" i="1"/>
  <c r="J242" i="1"/>
  <c r="J241" i="1"/>
  <c r="J240" i="1"/>
  <c r="J239" i="1"/>
  <c r="J41" i="1"/>
  <c r="J40" i="1"/>
  <c r="J39" i="1"/>
  <c r="J38" i="1"/>
  <c r="J37" i="1"/>
  <c r="J36" i="1"/>
  <c r="AD6" i="1"/>
  <c r="W6" i="1" s="1"/>
  <c r="W3" i="1"/>
  <c r="W4" i="1"/>
  <c r="W5" i="1"/>
  <c r="AE6" i="1"/>
  <c r="AE7" i="1"/>
  <c r="AE8" i="1"/>
  <c r="AE9" i="1"/>
  <c r="J9" i="1"/>
  <c r="J8" i="1"/>
  <c r="J7" i="1"/>
  <c r="J6" i="1"/>
  <c r="J5" i="1"/>
  <c r="J4" i="1"/>
  <c r="J3" i="1"/>
  <c r="J2" i="1"/>
  <c r="AH5" i="1" l="1"/>
  <c r="AH4" i="1"/>
  <c r="AH6" i="1"/>
  <c r="AH2" i="1"/>
  <c r="W2" i="1"/>
  <c r="AD9" i="1"/>
  <c r="W9" i="1" s="1"/>
  <c r="AD8" i="1"/>
  <c r="W8" i="1" s="1"/>
  <c r="AD7" i="1"/>
  <c r="W7" i="1" s="1"/>
  <c r="AH3" i="1"/>
  <c r="Y13" i="1"/>
  <c r="W13" i="1" s="1"/>
  <c r="AA13" i="1"/>
  <c r="AA12" i="1"/>
  <c r="J13" i="1"/>
  <c r="J12" i="1"/>
  <c r="Y14" i="1" l="1"/>
  <c r="W14" i="1" s="1"/>
  <c r="AH7" i="1"/>
  <c r="AH8" i="1"/>
  <c r="AH9" i="1"/>
  <c r="W12" i="1"/>
  <c r="J24" i="1"/>
  <c r="J23" i="1"/>
  <c r="J905" i="1"/>
  <c r="J904" i="1"/>
  <c r="AC906" i="1"/>
  <c r="J1036" i="1"/>
  <c r="J1035" i="1"/>
  <c r="J1034" i="1"/>
  <c r="J1033" i="1"/>
  <c r="J1032" i="1"/>
  <c r="J1031" i="1"/>
  <c r="J931" i="1"/>
  <c r="J930" i="1"/>
  <c r="J929" i="1"/>
  <c r="J928" i="1"/>
  <c r="J927" i="1"/>
  <c r="J926" i="1"/>
  <c r="J925" i="1"/>
  <c r="J924" i="1"/>
  <c r="J923" i="1"/>
  <c r="J922" i="1"/>
  <c r="J921" i="1"/>
  <c r="J920" i="1"/>
  <c r="J919" i="1"/>
  <c r="J918" i="1"/>
  <c r="J917" i="1"/>
  <c r="J916" i="1"/>
  <c r="J768" i="1" l="1"/>
  <c r="J767" i="1"/>
  <c r="J50" i="1"/>
  <c r="J49" i="1"/>
  <c r="J48" i="1"/>
  <c r="J47" i="1"/>
  <c r="J46" i="1"/>
  <c r="J45" i="1"/>
  <c r="J44" i="1"/>
  <c r="J43" i="1"/>
  <c r="AD46" i="1"/>
  <c r="AD47" i="1"/>
  <c r="AD50" i="1"/>
  <c r="J42" i="1"/>
  <c r="AI216" i="1"/>
  <c r="AI215" i="1"/>
  <c r="J216" i="1"/>
  <c r="J215" i="1"/>
  <c r="W42" i="1" l="1"/>
  <c r="W44" i="1"/>
  <c r="W46" i="1"/>
  <c r="W47" i="1"/>
  <c r="W43" i="1"/>
  <c r="W50" i="1"/>
  <c r="AD48" i="1"/>
  <c r="W48" i="1" s="1"/>
  <c r="AD45" i="1"/>
  <c r="W45" i="1" s="1"/>
  <c r="AD49" i="1"/>
  <c r="W49" i="1" s="1"/>
  <c r="J619" i="1"/>
  <c r="J618" i="1"/>
  <c r="J617" i="1"/>
  <c r="J616" i="1"/>
  <c r="J615" i="1"/>
  <c r="J614" i="1"/>
  <c r="J631" i="1"/>
  <c r="J630" i="1"/>
  <c r="J629" i="1"/>
  <c r="J628" i="1"/>
  <c r="J627" i="1"/>
  <c r="J626" i="1"/>
  <c r="J330" i="1"/>
  <c r="J329" i="1"/>
  <c r="J328" i="1"/>
  <c r="J327" i="1"/>
  <c r="J326" i="1"/>
  <c r="J325" i="1"/>
  <c r="J324" i="1"/>
  <c r="J323" i="1"/>
  <c r="J125" i="1"/>
  <c r="J124" i="1"/>
  <c r="J123" i="1"/>
  <c r="J122" i="1"/>
  <c r="J121" i="1"/>
  <c r="J120" i="1"/>
  <c r="J119" i="1"/>
  <c r="X125" i="1"/>
  <c r="W125" i="1" s="1"/>
  <c r="X124" i="1"/>
  <c r="W124" i="1" s="1"/>
  <c r="X123" i="1"/>
  <c r="W123" i="1" s="1"/>
  <c r="X122" i="1"/>
  <c r="W122" i="1" s="1"/>
  <c r="X121" i="1"/>
  <c r="W121" i="1" s="1"/>
  <c r="X120" i="1"/>
  <c r="W120" i="1" s="1"/>
  <c r="X119" i="1"/>
  <c r="W119" i="1" s="1"/>
  <c r="J118" i="1"/>
  <c r="J647" i="1"/>
  <c r="J646" i="1"/>
  <c r="J645" i="1"/>
  <c r="J644" i="1"/>
  <c r="J266" i="1"/>
  <c r="J265" i="1"/>
  <c r="J264" i="1"/>
  <c r="W148" i="1"/>
  <c r="W150" i="1"/>
  <c r="W151" i="1"/>
  <c r="W152" i="1"/>
  <c r="W153" i="1"/>
  <c r="W154" i="1"/>
  <c r="W155" i="1"/>
  <c r="W157" i="1"/>
  <c r="W159" i="1"/>
  <c r="W161" i="1"/>
  <c r="W162" i="1"/>
  <c r="W163" i="1"/>
  <c r="W164" i="1"/>
  <c r="W165" i="1"/>
  <c r="W166" i="1"/>
  <c r="W167" i="1"/>
  <c r="W169" i="1"/>
  <c r="W170" i="1"/>
  <c r="W171" i="1"/>
  <c r="W172" i="1"/>
  <c r="W173" i="1"/>
  <c r="W174" i="1"/>
  <c r="W175" i="1"/>
  <c r="W176" i="1"/>
  <c r="W177" i="1"/>
  <c r="W178" i="1"/>
  <c r="J938" i="1"/>
  <c r="J937" i="1"/>
  <c r="AF937" i="1"/>
  <c r="W937" i="1"/>
  <c r="J936" i="1"/>
  <c r="J903" i="1"/>
  <c r="J902" i="1"/>
  <c r="J901" i="1"/>
  <c r="J900" i="1"/>
  <c r="J540" i="1"/>
  <c r="J539" i="1"/>
  <c r="J538" i="1"/>
  <c r="J537" i="1"/>
  <c r="J536" i="1"/>
  <c r="J535" i="1"/>
  <c r="J534" i="1"/>
  <c r="J533" i="1"/>
  <c r="J824" i="1"/>
  <c r="J823" i="1"/>
  <c r="J822" i="1"/>
  <c r="J821" i="1"/>
  <c r="J820" i="1"/>
  <c r="J819" i="1"/>
  <c r="J818" i="1"/>
  <c r="AI723" i="1"/>
  <c r="AI722" i="1"/>
  <c r="AI721" i="1"/>
  <c r="AI720" i="1"/>
  <c r="J723" i="1"/>
  <c r="J722" i="1"/>
  <c r="J721" i="1"/>
  <c r="J720" i="1"/>
  <c r="Y935" i="1"/>
  <c r="W935" i="1" s="1"/>
  <c r="Y934" i="1"/>
  <c r="W934" i="1" s="1"/>
  <c r="Y933" i="1"/>
  <c r="W933" i="1" s="1"/>
  <c r="Y932" i="1"/>
  <c r="W932" i="1" s="1"/>
  <c r="J558" i="1"/>
  <c r="J557" i="1"/>
  <c r="J556" i="1"/>
  <c r="J555" i="1"/>
  <c r="J554" i="1"/>
  <c r="J553" i="1"/>
  <c r="J552" i="1"/>
  <c r="J551" i="1"/>
  <c r="J550" i="1"/>
  <c r="J549" i="1"/>
  <c r="J548" i="1"/>
  <c r="J547" i="1"/>
  <c r="J546" i="1"/>
  <c r="J545" i="1"/>
  <c r="J544" i="1"/>
  <c r="J543" i="1"/>
  <c r="J542" i="1"/>
  <c r="J541" i="1"/>
  <c r="W147" i="1" l="1"/>
  <c r="W160" i="1"/>
  <c r="W168" i="1"/>
  <c r="W158" i="1"/>
  <c r="W156" i="1"/>
  <c r="W723" i="1"/>
  <c r="W720" i="1"/>
  <c r="W722" i="1"/>
  <c r="W721" i="1"/>
  <c r="W149" i="1"/>
  <c r="AD967" i="1"/>
  <c r="AD970" i="1"/>
  <c r="AB970" i="1"/>
  <c r="AB967" i="1"/>
  <c r="W967" i="1" l="1"/>
  <c r="W970" i="1"/>
  <c r="AA1048" i="1"/>
  <c r="AA1047" i="1"/>
  <c r="AA1046" i="1"/>
  <c r="AA1045" i="1"/>
  <c r="AA1044" i="1"/>
  <c r="AA1043" i="1"/>
  <c r="AI775" i="1" l="1"/>
  <c r="AI787" i="1"/>
  <c r="AI786" i="1"/>
  <c r="AI785" i="1"/>
  <c r="AI784" i="1"/>
  <c r="AI783" i="1"/>
  <c r="AI782" i="1"/>
  <c r="AI781" i="1"/>
  <c r="AI780" i="1"/>
  <c r="AI779" i="1"/>
  <c r="AI778" i="1"/>
  <c r="AI777" i="1"/>
  <c r="AI776" i="1"/>
  <c r="J761" i="1"/>
  <c r="J760" i="1"/>
  <c r="J759" i="1"/>
  <c r="J758" i="1"/>
  <c r="J639" i="1"/>
  <c r="J638" i="1"/>
  <c r="J637" i="1"/>
  <c r="J636" i="1"/>
  <c r="W477" i="1" l="1"/>
  <c r="J477" i="1"/>
  <c r="J476" i="1"/>
  <c r="J475" i="1"/>
  <c r="W476" i="1" l="1"/>
  <c r="W475" i="1"/>
  <c r="X445" i="1"/>
  <c r="W445" i="1" s="1"/>
  <c r="W425" i="1" l="1"/>
  <c r="W426" i="1"/>
  <c r="W427" i="1"/>
  <c r="W428" i="1"/>
  <c r="W429" i="1"/>
  <c r="W430" i="1"/>
  <c r="W431" i="1"/>
  <c r="W432" i="1"/>
  <c r="X411" i="1" l="1"/>
  <c r="W411" i="1" s="1"/>
  <c r="J391" i="1"/>
  <c r="J263" i="1"/>
  <c r="J262" i="1"/>
  <c r="J261" i="1"/>
  <c r="W1004" i="1" l="1"/>
  <c r="W1005" i="1"/>
  <c r="W1006" i="1"/>
  <c r="W1007" i="1"/>
  <c r="W1008" i="1"/>
  <c r="W1009" i="1"/>
  <c r="W1010" i="1"/>
  <c r="W1011" i="1"/>
  <c r="J983" i="1" l="1"/>
  <c r="J982" i="1"/>
  <c r="J981" i="1"/>
  <c r="J980" i="1"/>
  <c r="J979" i="1"/>
  <c r="J978" i="1"/>
  <c r="J801" i="1" l="1"/>
  <c r="J800" i="1"/>
  <c r="J799" i="1"/>
  <c r="J798" i="1"/>
  <c r="J797" i="1"/>
  <c r="J796" i="1"/>
  <c r="J795" i="1"/>
  <c r="J794" i="1"/>
  <c r="J793" i="1"/>
  <c r="J792" i="1"/>
  <c r="J791" i="1"/>
  <c r="J790" i="1"/>
  <c r="AD801" i="1"/>
  <c r="W801" i="1" s="1"/>
  <c r="AD800" i="1"/>
  <c r="W800" i="1" s="1"/>
  <c r="AD799" i="1"/>
  <c r="W799" i="1" s="1"/>
  <c r="AD798" i="1"/>
  <c r="W798" i="1" s="1"/>
  <c r="AD797" i="1"/>
  <c r="W797" i="1" s="1"/>
  <c r="AD796" i="1"/>
  <c r="W796" i="1" s="1"/>
  <c r="AD795" i="1"/>
  <c r="W795" i="1" s="1"/>
  <c r="AD794" i="1"/>
  <c r="W794" i="1" s="1"/>
  <c r="AD793" i="1"/>
  <c r="W793" i="1" s="1"/>
  <c r="AD792" i="1"/>
  <c r="W792" i="1" s="1"/>
  <c r="AD791" i="1"/>
  <c r="W791" i="1" s="1"/>
  <c r="AD790" i="1"/>
  <c r="W790" i="1" s="1"/>
  <c r="J805" i="1"/>
  <c r="J804" i="1"/>
  <c r="J803" i="1"/>
  <c r="J802" i="1"/>
  <c r="J1110" i="1" l="1"/>
  <c r="W73" i="1"/>
  <c r="W963" i="1" l="1"/>
  <c r="W962" i="1"/>
  <c r="W961" i="1"/>
  <c r="J444" i="1"/>
  <c r="J443" i="1"/>
  <c r="J442" i="1"/>
  <c r="J441" i="1"/>
  <c r="J440" i="1"/>
  <c r="J439" i="1"/>
  <c r="J438" i="1"/>
  <c r="J437" i="1"/>
  <c r="J436" i="1"/>
  <c r="J435" i="1"/>
  <c r="J434" i="1"/>
  <c r="W439" i="1"/>
  <c r="W440" i="1"/>
  <c r="W441" i="1"/>
  <c r="W442" i="1"/>
  <c r="W443" i="1"/>
  <c r="W444" i="1"/>
  <c r="W433" i="1"/>
  <c r="W434" i="1"/>
  <c r="W435" i="1"/>
  <c r="W436" i="1"/>
  <c r="W437" i="1"/>
  <c r="W438" i="1"/>
  <c r="J433" i="1"/>
  <c r="J392" i="1" l="1"/>
  <c r="J268" i="1"/>
  <c r="J267" i="1"/>
  <c r="W267" i="1" l="1"/>
  <c r="W268" i="1"/>
  <c r="J915" i="1"/>
  <c r="J914" i="1"/>
  <c r="J913" i="1"/>
  <c r="J912" i="1"/>
  <c r="J1086" i="1"/>
  <c r="J1085" i="1"/>
  <c r="J1084" i="1"/>
  <c r="J1083" i="1"/>
  <c r="J1082" i="1"/>
  <c r="J1081" i="1"/>
  <c r="J1048" i="1"/>
  <c r="J1047" i="1"/>
  <c r="J1046" i="1"/>
  <c r="J1045" i="1"/>
  <c r="J1044" i="1"/>
  <c r="J1043" i="1"/>
  <c r="J322" i="1"/>
  <c r="J321" i="1"/>
  <c r="J272" i="1"/>
  <c r="J271" i="1"/>
  <c r="J270" i="1"/>
  <c r="J269" i="1"/>
  <c r="J113" i="1"/>
  <c r="J112" i="1"/>
  <c r="J111" i="1"/>
  <c r="J110" i="1"/>
  <c r="J109" i="1"/>
  <c r="J108" i="1"/>
  <c r="J1115" i="1"/>
  <c r="J1113" i="1"/>
  <c r="J1112" i="1"/>
  <c r="J1114" i="1"/>
  <c r="J1111" i="1"/>
  <c r="AD1115" i="1"/>
  <c r="W1115" i="1" s="1"/>
  <c r="AD1114" i="1"/>
  <c r="W1114" i="1" s="1"/>
  <c r="AD1113" i="1"/>
  <c r="W1113" i="1" s="1"/>
  <c r="AD1112" i="1"/>
  <c r="W1112" i="1" s="1"/>
  <c r="AD1111" i="1"/>
  <c r="W1111" i="1" s="1"/>
  <c r="J1095" i="1"/>
  <c r="J1094" i="1"/>
  <c r="J1093" i="1"/>
  <c r="J1092" i="1"/>
  <c r="J1091" i="1"/>
  <c r="AC987" i="1"/>
  <c r="W987" i="1" s="1"/>
  <c r="AC986" i="1"/>
  <c r="W986" i="1" s="1"/>
  <c r="J986" i="1"/>
  <c r="X960" i="1"/>
  <c r="X959" i="1"/>
  <c r="X958" i="1"/>
  <c r="X957" i="1"/>
  <c r="X956" i="1"/>
  <c r="X955" i="1"/>
  <c r="X954" i="1"/>
  <c r="X953" i="1"/>
  <c r="X952" i="1"/>
  <c r="X951" i="1"/>
  <c r="X950" i="1"/>
  <c r="X949" i="1"/>
  <c r="X948" i="1"/>
  <c r="X947" i="1"/>
  <c r="X946" i="1"/>
  <c r="X945" i="1"/>
  <c r="X944" i="1"/>
  <c r="X943" i="1"/>
  <c r="J847" i="1"/>
  <c r="J848" i="1"/>
  <c r="J846" i="1"/>
  <c r="J845" i="1"/>
  <c r="J844" i="1"/>
  <c r="J843" i="1"/>
  <c r="AD805" i="1"/>
  <c r="W805" i="1" s="1"/>
  <c r="AD804" i="1"/>
  <c r="W804" i="1" s="1"/>
  <c r="AD803" i="1"/>
  <c r="W803" i="1" s="1"/>
  <c r="AD802" i="1"/>
  <c r="W802" i="1" s="1"/>
  <c r="J687" i="1"/>
  <c r="J686" i="1"/>
  <c r="J685" i="1"/>
  <c r="J684" i="1"/>
  <c r="J683" i="1"/>
  <c r="J682" i="1"/>
  <c r="J681" i="1"/>
  <c r="J680" i="1"/>
  <c r="J679" i="1"/>
  <c r="J635" i="1"/>
  <c r="J634" i="1"/>
  <c r="J633" i="1"/>
  <c r="J632" i="1"/>
  <c r="J564" i="1"/>
  <c r="J563" i="1"/>
  <c r="J560" i="1"/>
  <c r="J559" i="1"/>
  <c r="J481" i="1"/>
  <c r="J480" i="1"/>
  <c r="J479" i="1"/>
  <c r="J424" i="1"/>
  <c r="J423" i="1"/>
  <c r="J422" i="1"/>
  <c r="J421" i="1"/>
  <c r="J420" i="1"/>
  <c r="J419" i="1"/>
  <c r="J418" i="1"/>
  <c r="J417" i="1"/>
  <c r="J432" i="1"/>
  <c r="J431" i="1"/>
  <c r="J430" i="1"/>
  <c r="J429" i="1"/>
  <c r="J428" i="1"/>
  <c r="J427" i="1"/>
  <c r="J426" i="1"/>
  <c r="J425" i="1"/>
  <c r="AB392" i="1"/>
  <c r="J416" i="1" l="1"/>
  <c r="J415" i="1"/>
  <c r="X414" i="1"/>
  <c r="W414" i="1" s="1"/>
  <c r="X413" i="1"/>
  <c r="W413" i="1" s="1"/>
  <c r="X412" i="1"/>
  <c r="W412" i="1" s="1"/>
  <c r="J414" i="1"/>
  <c r="J413" i="1"/>
  <c r="J412" i="1"/>
  <c r="J411" i="1"/>
  <c r="J107" i="1"/>
  <c r="J106" i="1"/>
  <c r="J105" i="1"/>
  <c r="J104" i="1"/>
  <c r="J103" i="1"/>
  <c r="J102" i="1"/>
  <c r="J101" i="1"/>
  <c r="J100" i="1"/>
  <c r="J99" i="1"/>
  <c r="J98" i="1"/>
  <c r="J97" i="1"/>
  <c r="J96" i="1"/>
  <c r="W776" i="1"/>
  <c r="W777" i="1"/>
  <c r="W778" i="1"/>
  <c r="W779" i="1"/>
  <c r="W780" i="1"/>
  <c r="W781" i="1"/>
  <c r="W782" i="1"/>
  <c r="W783" i="1"/>
  <c r="W784" i="1"/>
  <c r="W785" i="1"/>
  <c r="W786" i="1"/>
  <c r="W787" i="1"/>
  <c r="W775" i="1"/>
  <c r="W695" i="1"/>
  <c r="W696" i="1"/>
  <c r="W697" i="1"/>
  <c r="W698" i="1"/>
  <c r="W699" i="1"/>
  <c r="W700" i="1"/>
  <c r="W701" i="1"/>
  <c r="W702" i="1"/>
  <c r="W703" i="1"/>
  <c r="W704" i="1"/>
  <c r="W705" i="1"/>
  <c r="W706" i="1"/>
  <c r="W707" i="1"/>
  <c r="W708" i="1"/>
  <c r="W709" i="1"/>
  <c r="W710" i="1"/>
  <c r="W711" i="1"/>
  <c r="W712" i="1"/>
  <c r="W713" i="1"/>
  <c r="W694" i="1"/>
  <c r="W672" i="1"/>
  <c r="W671" i="1"/>
  <c r="W670" i="1"/>
  <c r="W669" i="1"/>
  <c r="W658" i="1"/>
  <c r="W659" i="1"/>
  <c r="W660" i="1"/>
  <c r="W661" i="1"/>
  <c r="W662" i="1"/>
  <c r="W663" i="1"/>
  <c r="W664" i="1"/>
  <c r="W665" i="1"/>
  <c r="W666" i="1"/>
  <c r="W667" i="1"/>
  <c r="W653" i="1"/>
  <c r="W654" i="1"/>
  <c r="W655" i="1"/>
  <c r="W656" i="1"/>
  <c r="W657" i="1"/>
  <c r="W649" i="1"/>
  <c r="W650" i="1"/>
  <c r="W651" i="1"/>
  <c r="W652" i="1"/>
  <c r="W74" i="1"/>
  <c r="W75" i="1"/>
  <c r="W68" i="1"/>
  <c r="W69" i="1"/>
  <c r="W70" i="1"/>
  <c r="W71" i="1"/>
  <c r="W72" i="1"/>
  <c r="W67" i="1"/>
  <c r="W218" i="1"/>
  <c r="W219" i="1"/>
  <c r="W220" i="1"/>
  <c r="W221" i="1"/>
  <c r="W222" i="1"/>
  <c r="W223" i="1"/>
  <c r="W224" i="1"/>
  <c r="W217" i="1"/>
  <c r="J867" i="1"/>
  <c r="J866" i="1"/>
  <c r="J865" i="1"/>
  <c r="J864" i="1"/>
  <c r="J863" i="1"/>
  <c r="AD828" i="1"/>
  <c r="W828" i="1" s="1"/>
  <c r="J828" i="1"/>
  <c r="J827" i="1"/>
  <c r="J826" i="1"/>
  <c r="J825" i="1"/>
  <c r="AI789" i="1"/>
  <c r="AB789" i="1"/>
  <c r="W789" i="1" s="1"/>
  <c r="J789" i="1"/>
  <c r="AI788" i="1"/>
  <c r="AB788" i="1"/>
  <c r="W788" i="1" s="1"/>
  <c r="J788" i="1"/>
  <c r="J787" i="1"/>
  <c r="J786" i="1"/>
  <c r="J785" i="1"/>
  <c r="J784" i="1"/>
  <c r="J783" i="1"/>
  <c r="J782" i="1"/>
  <c r="J781" i="1"/>
  <c r="J780" i="1"/>
  <c r="J779" i="1"/>
  <c r="J778" i="1"/>
  <c r="J777" i="1"/>
  <c r="J776" i="1"/>
  <c r="J775" i="1"/>
  <c r="AB747" i="1"/>
  <c r="J747" i="1"/>
  <c r="AB746" i="1"/>
  <c r="W746" i="1"/>
  <c r="J746" i="1"/>
  <c r="J743" i="1"/>
  <c r="J742" i="1"/>
  <c r="J741" i="1"/>
  <c r="J740" i="1"/>
  <c r="J739" i="1"/>
  <c r="J738" i="1"/>
  <c r="J737" i="1"/>
  <c r="J736" i="1"/>
  <c r="J735" i="1"/>
  <c r="J734" i="1"/>
  <c r="J733" i="1"/>
  <c r="J732" i="1"/>
  <c r="J731" i="1"/>
  <c r="J730" i="1"/>
  <c r="AB725" i="1"/>
  <c r="AB724" i="1"/>
  <c r="J713" i="1"/>
  <c r="J712" i="1"/>
  <c r="J711" i="1"/>
  <c r="J710" i="1"/>
  <c r="J709" i="1"/>
  <c r="J708" i="1"/>
  <c r="J707" i="1"/>
  <c r="J706" i="1"/>
  <c r="J705" i="1"/>
  <c r="J704" i="1"/>
  <c r="J703" i="1"/>
  <c r="J702" i="1"/>
  <c r="J701" i="1"/>
  <c r="J700" i="1"/>
  <c r="J699" i="1"/>
  <c r="J698" i="1"/>
  <c r="J697" i="1"/>
  <c r="J696" i="1"/>
  <c r="J695" i="1"/>
  <c r="J694" i="1"/>
  <c r="J672" i="1"/>
  <c r="J671" i="1"/>
  <c r="J670" i="1"/>
  <c r="J669" i="1"/>
  <c r="J668" i="1"/>
  <c r="J667" i="1"/>
  <c r="J666" i="1"/>
  <c r="J665" i="1"/>
  <c r="J664" i="1"/>
  <c r="J663" i="1"/>
  <c r="J662" i="1"/>
  <c r="J661" i="1"/>
  <c r="J660" i="1"/>
  <c r="J659" i="1"/>
  <c r="J658" i="1"/>
  <c r="J657" i="1"/>
  <c r="J656" i="1"/>
  <c r="J655" i="1"/>
  <c r="J654" i="1"/>
  <c r="J653" i="1"/>
  <c r="J652" i="1"/>
  <c r="J651" i="1"/>
  <c r="J650" i="1"/>
  <c r="J649" i="1"/>
  <c r="AI648" i="1"/>
  <c r="J648" i="1"/>
  <c r="J643" i="1"/>
  <c r="J642" i="1"/>
  <c r="J641" i="1"/>
  <c r="J640" i="1"/>
  <c r="AD623" i="1"/>
  <c r="W623" i="1" s="1"/>
  <c r="J623" i="1"/>
  <c r="AD622" i="1"/>
  <c r="W622" i="1" s="1"/>
  <c r="J622" i="1"/>
  <c r="AD621" i="1"/>
  <c r="W621" i="1" s="1"/>
  <c r="J621" i="1"/>
  <c r="AD620" i="1"/>
  <c r="W620" i="1" s="1"/>
  <c r="J620" i="1"/>
  <c r="AD606" i="1"/>
  <c r="J606" i="1"/>
  <c r="AD605" i="1"/>
  <c r="J605" i="1"/>
  <c r="J499" i="1"/>
  <c r="J498" i="1"/>
  <c r="J497" i="1"/>
  <c r="J496" i="1"/>
  <c r="J495" i="1"/>
  <c r="J494" i="1"/>
  <c r="J493" i="1"/>
  <c r="J492" i="1"/>
  <c r="J491" i="1"/>
  <c r="J490" i="1"/>
  <c r="J489" i="1"/>
  <c r="J488" i="1"/>
  <c r="J487" i="1"/>
  <c r="J486" i="1"/>
  <c r="J485" i="1"/>
  <c r="J484" i="1"/>
  <c r="J474" i="1"/>
  <c r="J473" i="1"/>
  <c r="J472" i="1"/>
  <c r="J471" i="1"/>
  <c r="J470" i="1"/>
  <c r="J469" i="1"/>
  <c r="J468" i="1"/>
  <c r="J467" i="1"/>
  <c r="J466" i="1"/>
  <c r="J465" i="1"/>
  <c r="J464" i="1"/>
  <c r="J463" i="1"/>
  <c r="J345" i="1"/>
  <c r="J344" i="1"/>
  <c r="J343" i="1"/>
  <c r="J342" i="1"/>
  <c r="J341" i="1"/>
  <c r="J340" i="1"/>
  <c r="J339" i="1"/>
  <c r="J338" i="1"/>
  <c r="J337" i="1"/>
  <c r="J336" i="1"/>
  <c r="J335" i="1"/>
  <c r="J334" i="1"/>
  <c r="J333" i="1"/>
  <c r="J332" i="1"/>
  <c r="J331" i="1"/>
  <c r="J301" i="1"/>
  <c r="J300" i="1"/>
  <c r="J299" i="1"/>
  <c r="J298" i="1"/>
  <c r="J297" i="1"/>
  <c r="J296" i="1"/>
  <c r="J295" i="1"/>
  <c r="J294" i="1"/>
  <c r="AC289" i="1"/>
  <c r="J289" i="1"/>
  <c r="AC288" i="1"/>
  <c r="J288" i="1"/>
  <c r="AC287" i="1"/>
  <c r="J287" i="1"/>
  <c r="AC286" i="1"/>
  <c r="J286" i="1"/>
  <c r="AC285" i="1"/>
  <c r="J285" i="1"/>
  <c r="AC284" i="1"/>
  <c r="J284" i="1"/>
  <c r="AC283" i="1"/>
  <c r="J283" i="1"/>
  <c r="AC282" i="1"/>
  <c r="J282" i="1"/>
  <c r="AC281" i="1"/>
  <c r="J281" i="1"/>
  <c r="Y238" i="1"/>
  <c r="J238" i="1"/>
  <c r="Y237" i="1"/>
  <c r="J237" i="1"/>
  <c r="Y236" i="1"/>
  <c r="J236" i="1"/>
  <c r="Y235" i="1"/>
  <c r="J235" i="1"/>
  <c r="Y234" i="1"/>
  <c r="J234" i="1"/>
  <c r="Y233" i="1"/>
  <c r="J233" i="1"/>
  <c r="J224" i="1"/>
  <c r="J223" i="1"/>
  <c r="J222" i="1"/>
  <c r="J221" i="1"/>
  <c r="J220" i="1"/>
  <c r="J219" i="1"/>
  <c r="J218" i="1"/>
  <c r="J217" i="1"/>
  <c r="Y127" i="1"/>
  <c r="W127" i="1"/>
  <c r="J127" i="1"/>
  <c r="Y126" i="1"/>
  <c r="W126" i="1"/>
  <c r="J12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18" i="1"/>
  <c r="J17" i="1"/>
  <c r="J16" i="1"/>
  <c r="J15" i="1"/>
  <c r="W287" i="1" l="1"/>
  <c r="W289" i="1"/>
  <c r="W286" i="1"/>
  <c r="W288" i="1"/>
  <c r="AD746" i="1"/>
  <c r="W285" i="1"/>
  <c r="W283" i="1"/>
  <c r="W282" i="1"/>
  <c r="W605" i="1"/>
  <c r="W606" i="1"/>
  <c r="W284" i="1"/>
  <c r="W648" i="1"/>
  <c r="W281" i="1"/>
  <c r="W1109" i="1" l="1"/>
  <c r="W1108" i="1"/>
  <c r="W1107" i="1"/>
  <c r="W1106" i="1"/>
  <c r="W1105" i="1"/>
  <c r="W1104" i="1"/>
  <c r="W1103" i="1"/>
  <c r="W1102" i="1"/>
  <c r="W1101" i="1"/>
  <c r="W1100" i="1"/>
  <c r="W1099" i="1"/>
  <c r="W1098" i="1"/>
  <c r="W1097" i="1"/>
  <c r="W1096" i="1"/>
  <c r="W1079" i="1"/>
  <c r="W1078" i="1"/>
  <c r="W1077" i="1"/>
  <c r="W1076" i="1"/>
  <c r="W1075" i="1"/>
  <c r="W1074" i="1"/>
  <c r="W1073" i="1"/>
  <c r="W1072" i="1"/>
  <c r="W1071" i="1"/>
  <c r="W1070" i="1"/>
  <c r="W1069" i="1"/>
  <c r="W1068" i="1"/>
  <c r="W1067" i="1"/>
  <c r="W1066" i="1"/>
  <c r="J1065" i="1"/>
  <c r="J1064" i="1"/>
  <c r="J1063" i="1"/>
  <c r="J1062" i="1"/>
  <c r="J1061" i="1"/>
  <c r="J1060" i="1"/>
  <c r="J1059" i="1"/>
  <c r="J1058" i="1"/>
  <c r="J1042" i="1"/>
  <c r="J1041" i="1"/>
  <c r="J1040" i="1"/>
  <c r="J1039" i="1"/>
  <c r="J1038" i="1"/>
  <c r="J1037" i="1"/>
  <c r="J1030" i="1"/>
  <c r="J1029" i="1"/>
  <c r="J1028" i="1"/>
  <c r="J1027" i="1"/>
  <c r="J1026" i="1"/>
  <c r="J1025" i="1"/>
  <c r="J1024" i="1"/>
  <c r="J1023" i="1"/>
  <c r="J1022" i="1"/>
  <c r="W1021" i="1"/>
  <c r="J1021" i="1"/>
  <c r="W1020" i="1"/>
  <c r="J1020" i="1"/>
  <c r="W1019" i="1"/>
  <c r="J1019" i="1"/>
  <c r="W1018" i="1"/>
  <c r="J1018" i="1"/>
  <c r="W1017" i="1"/>
  <c r="J1017" i="1"/>
  <c r="W1016" i="1"/>
  <c r="J1016" i="1"/>
  <c r="W1015" i="1"/>
  <c r="J1015" i="1"/>
  <c r="W1014" i="1"/>
  <c r="J1014" i="1"/>
  <c r="W1013" i="1"/>
  <c r="J1013" i="1"/>
  <c r="W1012" i="1"/>
  <c r="J1012" i="1"/>
  <c r="J971" i="1"/>
  <c r="J970" i="1"/>
  <c r="J969" i="1"/>
  <c r="J968" i="1"/>
  <c r="J967" i="1"/>
  <c r="J966" i="1"/>
  <c r="J965" i="1"/>
  <c r="J964" i="1"/>
  <c r="J911" i="1"/>
  <c r="J910" i="1"/>
  <c r="J909" i="1"/>
  <c r="J908" i="1"/>
  <c r="J907"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AD842" i="1"/>
  <c r="W842" i="1" s="1"/>
  <c r="AD841" i="1"/>
  <c r="W841" i="1" s="1"/>
  <c r="AD840" i="1"/>
  <c r="W840" i="1" s="1"/>
  <c r="AD839" i="1"/>
  <c r="W839" i="1" s="1"/>
  <c r="AD838" i="1"/>
  <c r="W838" i="1" s="1"/>
  <c r="AD837" i="1"/>
  <c r="W837" i="1" s="1"/>
  <c r="AD836" i="1"/>
  <c r="W836" i="1" s="1"/>
  <c r="AD835" i="1"/>
  <c r="W835" i="1" s="1"/>
  <c r="AD834" i="1"/>
  <c r="W834" i="1" s="1"/>
  <c r="AD833" i="1"/>
  <c r="W833" i="1" s="1"/>
  <c r="J830" i="1"/>
  <c r="J829" i="1"/>
  <c r="J815" i="1"/>
  <c r="J814" i="1"/>
  <c r="J813" i="1"/>
  <c r="J812" i="1"/>
  <c r="J811" i="1"/>
  <c r="J810" i="1"/>
  <c r="J809" i="1"/>
  <c r="J808" i="1"/>
  <c r="J807" i="1"/>
  <c r="W806" i="1"/>
  <c r="J806" i="1"/>
  <c r="J757" i="1"/>
  <c r="J756" i="1"/>
  <c r="J755" i="1"/>
  <c r="J754" i="1"/>
  <c r="J753" i="1"/>
  <c r="J752" i="1"/>
  <c r="J751" i="1"/>
  <c r="J750" i="1"/>
  <c r="J749" i="1"/>
  <c r="J748" i="1"/>
  <c r="AD678" i="1"/>
  <c r="W678" i="1" s="1"/>
  <c r="J678" i="1"/>
  <c r="AD677" i="1"/>
  <c r="W677" i="1" s="1"/>
  <c r="J677" i="1"/>
  <c r="AD676" i="1"/>
  <c r="W676" i="1" s="1"/>
  <c r="J676" i="1"/>
  <c r="AD675" i="1"/>
  <c r="W675" i="1" s="1"/>
  <c r="J675" i="1"/>
  <c r="W625" i="1"/>
  <c r="J625" i="1"/>
  <c r="W624" i="1"/>
  <c r="J624" i="1"/>
  <c r="J604" i="1"/>
  <c r="J603" i="1"/>
  <c r="J602" i="1"/>
  <c r="J601" i="1"/>
  <c r="J600" i="1"/>
  <c r="J599" i="1"/>
  <c r="J598" i="1"/>
  <c r="J597" i="1"/>
  <c r="J596" i="1"/>
  <c r="J595" i="1"/>
  <c r="J594" i="1"/>
  <c r="J593" i="1"/>
  <c r="J592" i="1"/>
  <c r="J591" i="1"/>
  <c r="J590" i="1"/>
  <c r="J589" i="1"/>
  <c r="J588" i="1"/>
  <c r="J587" i="1"/>
  <c r="J586" i="1"/>
  <c r="J585" i="1"/>
  <c r="J584" i="1"/>
  <c r="J583" i="1"/>
  <c r="J582" i="1"/>
  <c r="J581" i="1"/>
  <c r="AI580" i="1"/>
  <c r="J580" i="1"/>
  <c r="AI579" i="1"/>
  <c r="J579" i="1"/>
  <c r="AI578" i="1"/>
  <c r="J578" i="1"/>
  <c r="X518" i="1"/>
  <c r="J518" i="1"/>
  <c r="J478" i="1"/>
  <c r="J459" i="1"/>
  <c r="J458" i="1"/>
  <c r="X448" i="1"/>
  <c r="W448" i="1" s="1"/>
  <c r="X447" i="1"/>
  <c r="W447" i="1" s="1"/>
  <c r="X446" i="1"/>
  <c r="W446" i="1" s="1"/>
  <c r="J393" i="1"/>
  <c r="X390" i="1"/>
  <c r="X389" i="1"/>
  <c r="X388" i="1"/>
  <c r="X387" i="1"/>
  <c r="W293" i="1"/>
  <c r="J293" i="1"/>
  <c r="W292" i="1"/>
  <c r="J292" i="1"/>
  <c r="W291" i="1"/>
  <c r="J291" i="1"/>
  <c r="W290" i="1"/>
  <c r="J290" i="1"/>
  <c r="AH280" i="1"/>
  <c r="J280" i="1"/>
  <c r="AH279" i="1"/>
  <c r="J279" i="1"/>
  <c r="AH278" i="1"/>
  <c r="J278" i="1"/>
  <c r="AH277" i="1"/>
  <c r="J277" i="1"/>
  <c r="AH276" i="1"/>
  <c r="J276" i="1"/>
  <c r="AH275" i="1"/>
  <c r="J275" i="1"/>
  <c r="AH274" i="1"/>
  <c r="J274" i="1"/>
  <c r="AH273" i="1"/>
  <c r="J273" i="1"/>
  <c r="J260" i="1"/>
  <c r="W232" i="1"/>
  <c r="W231" i="1"/>
  <c r="W230" i="1"/>
  <c r="W229" i="1"/>
  <c r="W228" i="1"/>
  <c r="W227" i="1"/>
  <c r="W226" i="1"/>
  <c r="W225" i="1"/>
  <c r="AF202" i="1"/>
  <c r="AE202" i="1"/>
  <c r="AF201" i="1"/>
  <c r="AE201" i="1"/>
  <c r="AF198" i="1"/>
  <c r="AE198" i="1"/>
  <c r="AF197" i="1"/>
  <c r="AE197" i="1"/>
  <c r="AF194" i="1"/>
  <c r="AE194" i="1"/>
  <c r="AF193" i="1"/>
  <c r="AE193" i="1"/>
  <c r="AF190" i="1"/>
  <c r="AE190" i="1"/>
  <c r="AF189" i="1"/>
  <c r="AE189" i="1"/>
  <c r="AF186" i="1"/>
  <c r="AE186" i="1"/>
  <c r="AF185" i="1"/>
  <c r="AE185" i="1"/>
  <c r="AF182" i="1"/>
  <c r="AE182" i="1"/>
  <c r="AF181" i="1"/>
  <c r="AE181" i="1"/>
  <c r="J66" i="1"/>
  <c r="J65" i="1"/>
  <c r="J64" i="1"/>
  <c r="J63" i="1"/>
  <c r="J62" i="1"/>
  <c r="J61" i="1"/>
  <c r="J60" i="1"/>
  <c r="J59" i="1"/>
  <c r="J35" i="1"/>
  <c r="J34" i="1"/>
  <c r="J33" i="1"/>
  <c r="J22" i="1"/>
  <c r="J21" i="1"/>
  <c r="J20" i="1"/>
  <c r="J19" i="1"/>
  <c r="W261" i="1" l="1"/>
  <c r="W881" i="1"/>
  <c r="W889" i="1"/>
  <c r="W897" i="1"/>
  <c r="W890" i="1"/>
  <c r="AD132" i="1"/>
  <c r="AD136" i="1"/>
  <c r="AD138" i="1"/>
  <c r="AD142" i="1"/>
  <c r="W884" i="1"/>
  <c r="W892" i="1"/>
  <c r="W991" i="1"/>
  <c r="W870" i="1"/>
  <c r="W878" i="1"/>
  <c r="W886" i="1"/>
  <c r="W263" i="1"/>
  <c r="W260" i="1"/>
  <c r="W875" i="1"/>
  <c r="W883" i="1"/>
  <c r="W891" i="1"/>
  <c r="W995" i="1"/>
  <c r="W894" i="1"/>
  <c r="W873" i="1"/>
  <c r="W992" i="1"/>
  <c r="W876" i="1"/>
  <c r="W262" i="1"/>
  <c r="W871" i="1"/>
  <c r="W879" i="1"/>
  <c r="W887" i="1"/>
  <c r="W895" i="1"/>
  <c r="W989" i="1"/>
  <c r="AD140" i="1"/>
  <c r="W872" i="1"/>
  <c r="W880" i="1"/>
  <c r="W888" i="1"/>
  <c r="W896" i="1"/>
  <c r="AD141" i="1"/>
  <c r="W868" i="1"/>
  <c r="W993" i="1"/>
  <c r="AD139" i="1"/>
  <c r="AD143" i="1"/>
  <c r="W874" i="1"/>
  <c r="W882" i="1"/>
  <c r="W869" i="1"/>
  <c r="W877" i="1"/>
  <c r="W885" i="1"/>
  <c r="W893" i="1"/>
  <c r="W990" i="1"/>
  <c r="W994" i="1"/>
  <c r="AD133" i="1"/>
  <c r="AD134" i="1"/>
  <c r="AD131" i="1"/>
  <c r="AD135" i="1"/>
  <c r="W988" i="1"/>
  <c r="AB59" i="1"/>
  <c r="AB62" i="1"/>
  <c r="AB60" i="1"/>
  <c r="AB61" i="1"/>
  <c r="AD130" i="1"/>
  <c r="AD1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Baca</author>
  </authors>
  <commentList>
    <comment ref="T1" authorId="0" shapeId="0" xr:uid="{36FA090F-09B2-4092-B408-3CF17C43898A}">
      <text>
        <r>
          <rPr>
            <b/>
            <sz val="9"/>
            <color indexed="81"/>
            <rFont val="Tahoma"/>
            <family val="2"/>
          </rPr>
          <t>Juan Baca:</t>
        </r>
        <r>
          <rPr>
            <sz val="9"/>
            <color indexed="81"/>
            <rFont val="Tahoma"/>
            <family val="2"/>
          </rPr>
          <t xml:space="preserve">
for thwe case where longitudinal variation alongside individual roots was measured</t>
        </r>
      </text>
    </comment>
    <comment ref="J2" authorId="0" shapeId="0" xr:uid="{ED6539C7-5FEE-4BA0-B641-75E5F10E38B4}">
      <text>
        <r>
          <rPr>
            <b/>
            <sz val="9"/>
            <color indexed="81"/>
            <rFont val="Tahoma"/>
            <family val="2"/>
          </rPr>
          <t>Juan Baca:</t>
        </r>
        <r>
          <rPr>
            <sz val="9"/>
            <color indexed="81"/>
            <rFont val="Tahoma"/>
            <family val="2"/>
          </rPr>
          <t xml:space="preserve">
Thereafter, 28-day-old plants were
placed in 0 (control) and 20% PEG 6000 (BioFroxx, Einhausen,
Germany) with an osmotic potential of −1.38 MPa for 3 days (page 3)</t>
        </r>
      </text>
    </comment>
    <comment ref="K2" authorId="0" shapeId="0" xr:uid="{46CD2B0C-7669-41D3-B8EA-0A13A03878F1}">
      <text>
        <r>
          <rPr>
            <b/>
            <sz val="9"/>
            <color indexed="81"/>
            <rFont val="Tahoma"/>
            <family val="2"/>
          </rPr>
          <t>Juan Baca:</t>
        </r>
        <r>
          <rPr>
            <sz val="9"/>
            <color indexed="81"/>
            <rFont val="Tahoma"/>
            <family val="2"/>
          </rPr>
          <t xml:space="preserve">
induced thorugh application of PEG</t>
        </r>
      </text>
    </comment>
    <comment ref="AB2" authorId="0" shapeId="0" xr:uid="{D147793C-0BC2-4D55-84E6-63D51AF7F75A}">
      <text>
        <r>
          <rPr>
            <b/>
            <sz val="9"/>
            <color indexed="81"/>
            <rFont val="Tahoma"/>
            <family val="2"/>
          </rPr>
          <t>Juan Baca:</t>
        </r>
        <r>
          <rPr>
            <sz val="9"/>
            <color indexed="81"/>
            <rFont val="Tahoma"/>
            <family val="2"/>
          </rPr>
          <t xml:space="preserve">
data from table 3</t>
        </r>
      </text>
    </comment>
    <comment ref="J10" authorId="0" shapeId="0" xr:uid="{06D9231B-111A-4701-90C4-2B38D006E4F9}">
      <text>
        <r>
          <rPr>
            <b/>
            <sz val="9"/>
            <color indexed="81"/>
            <rFont val="Tahoma"/>
            <charset val="1"/>
          </rPr>
          <t>Juan Baca:</t>
        </r>
        <r>
          <rPr>
            <sz val="9"/>
            <color indexed="81"/>
            <rFont val="Tahoma"/>
            <charset val="1"/>
          </rPr>
          <t xml:space="preserve">
"roots of three-week-old
seedlings" (page 2)</t>
        </r>
      </text>
    </comment>
    <comment ref="J12" authorId="0" shapeId="0" xr:uid="{4EC11107-9FDA-4556-962D-697F96A0CED3}">
      <text>
        <r>
          <rPr>
            <b/>
            <sz val="9"/>
            <color indexed="81"/>
            <rFont val="Tahoma"/>
            <family val="2"/>
          </rPr>
          <t>Juan Baca:</t>
        </r>
        <r>
          <rPr>
            <sz val="9"/>
            <color indexed="81"/>
            <rFont val="Tahoma"/>
            <family val="2"/>
          </rPr>
          <t xml:space="preserve">
data from table 2</t>
        </r>
      </text>
    </comment>
    <comment ref="Y12" authorId="0" shapeId="0" xr:uid="{CD040696-F34B-4AD2-B0D5-7764C828B136}">
      <text>
        <r>
          <rPr>
            <b/>
            <sz val="9"/>
            <color indexed="81"/>
            <rFont val="Tahoma"/>
            <family val="2"/>
          </rPr>
          <t>Juan Baca:</t>
        </r>
        <r>
          <rPr>
            <sz val="9"/>
            <color indexed="81"/>
            <rFont val="Tahoma"/>
            <family val="2"/>
          </rPr>
          <t xml:space="preserve">
all data from table 2</t>
        </r>
      </text>
    </comment>
    <comment ref="Y14" authorId="0" shapeId="0" xr:uid="{3734FF60-B1A2-49F9-A511-C812CCC0CC9A}">
      <text>
        <r>
          <rPr>
            <b/>
            <sz val="9"/>
            <color indexed="81"/>
            <rFont val="Tahoma"/>
            <family val="2"/>
          </rPr>
          <t>Juan Baca:</t>
        </r>
        <r>
          <rPr>
            <sz val="9"/>
            <color indexed="81"/>
            <rFont val="Tahoma"/>
            <family val="2"/>
          </rPr>
          <t xml:space="preserve">
Average kmax attained for WS seedlings was 58% (roots) and 71% (stems) lower than for
WW seedlings (page 1014)</t>
        </r>
      </text>
    </comment>
    <comment ref="J15" authorId="0" shapeId="0" xr:uid="{9AF08471-8FB2-49C2-933E-517762847D58}">
      <text>
        <r>
          <rPr>
            <b/>
            <sz val="9"/>
            <color indexed="81"/>
            <rFont val="Tahoma"/>
            <family val="2"/>
          </rPr>
          <t>Juan Baca:</t>
        </r>
        <r>
          <rPr>
            <sz val="9"/>
            <color indexed="81"/>
            <rFont val="Tahoma"/>
            <family val="2"/>
          </rPr>
          <t xml:space="preserve">
5 week old plants + 1 week for aclimation
(page 6) + 7 days of treatment (hipoxia and/or ethylene)</t>
        </r>
      </text>
    </comment>
    <comment ref="J19" authorId="0" shapeId="0" xr:uid="{8E91847B-D34C-4BB7-965E-E49587BC7BBB}">
      <text>
        <r>
          <rPr>
            <b/>
            <sz val="9"/>
            <color indexed="81"/>
            <rFont val="Tahoma"/>
            <family val="2"/>
          </rPr>
          <t>Juan Baca:</t>
        </r>
        <r>
          <rPr>
            <sz val="9"/>
            <color indexed="81"/>
            <rFont val="Tahoma"/>
            <family val="2"/>
          </rPr>
          <t xml:space="preserve">
The treatment started 8 days (for OUC613) or 10 days (for OUE812) after sowing (page 75) + 2 days of treatment (page 76-77)</t>
        </r>
      </text>
    </comment>
    <comment ref="J23" authorId="0" shapeId="0" xr:uid="{94F40DE2-6D23-48B5-BBAA-9EE1842838FB}">
      <text>
        <r>
          <rPr>
            <b/>
            <sz val="9"/>
            <color indexed="81"/>
            <rFont val="Tahoma"/>
            <family val="2"/>
          </rPr>
          <t>Juan Baca:</t>
        </r>
        <r>
          <rPr>
            <sz val="9"/>
            <color indexed="81"/>
            <rFont val="Tahoma"/>
            <family val="2"/>
          </rPr>
          <t xml:space="preserve">
 All full-scale
hydroponic experiments, including the untreated controls as the main objective of this study, were harvested
after 5 weeks  (page 3)</t>
        </r>
      </text>
    </comment>
    <comment ref="AB23" authorId="0" shapeId="0" xr:uid="{9E936EA7-D2D2-47C0-8055-038663D83A49}">
      <text>
        <r>
          <rPr>
            <b/>
            <sz val="9"/>
            <color indexed="81"/>
            <rFont val="Tahoma"/>
            <family val="2"/>
          </rPr>
          <t>Juan Baca:</t>
        </r>
        <r>
          <rPr>
            <sz val="9"/>
            <color indexed="81"/>
            <rFont val="Tahoma"/>
            <family val="2"/>
          </rPr>
          <t xml:space="preserve">
data from text (page 8)</t>
        </r>
      </text>
    </comment>
    <comment ref="J25" authorId="0" shapeId="0" xr:uid="{391EFEBA-4C49-4D46-BEDA-12B0D9BF65EA}">
      <text>
        <r>
          <rPr>
            <b/>
            <sz val="9"/>
            <color indexed="81"/>
            <rFont val="Tahoma"/>
            <family val="2"/>
          </rPr>
          <t>Juan Baca:</t>
        </r>
        <r>
          <rPr>
            <sz val="9"/>
            <color indexed="81"/>
            <rFont val="Tahoma"/>
            <family val="2"/>
          </rPr>
          <t xml:space="preserve">
The measurement was conducted in an experimental
room, where the room temperature was kept at
25.1 ± 0.6°C (±SD) on the 5 December 2017 (94 DAS) for IRAT 109, and the 9 December 2017 (98 DAS) for Taichung 65 (page 194)</t>
        </r>
      </text>
    </comment>
    <comment ref="AB25" authorId="0" shapeId="0" xr:uid="{03782398-BC12-4E61-82B1-488CFF83EA51}">
      <text>
        <r>
          <rPr>
            <b/>
            <sz val="9"/>
            <color indexed="81"/>
            <rFont val="Tahoma"/>
            <family val="2"/>
          </rPr>
          <t>Juan Baca:</t>
        </r>
        <r>
          <rPr>
            <sz val="9"/>
            <color indexed="81"/>
            <rFont val="Tahoma"/>
            <family val="2"/>
          </rPr>
          <t xml:space="preserve">
Data from table 3</t>
        </r>
      </text>
    </comment>
    <comment ref="J33" authorId="0" shapeId="0" xr:uid="{53B6A4AE-2BB9-4674-B859-D50A55A45BCB}">
      <text>
        <r>
          <rPr>
            <b/>
            <sz val="9"/>
            <color indexed="81"/>
            <rFont val="Tahoma"/>
            <family val="2"/>
          </rPr>
          <t>Juan Baca:</t>
        </r>
        <r>
          <rPr>
            <sz val="9"/>
            <color indexed="81"/>
            <rFont val="Tahoma"/>
            <family val="2"/>
          </rPr>
          <t xml:space="preserve">
We monitored daily
plant water status, as stem water potential (wstem), and canopy
conductance (gc) in four potted 2-yr-old olive plants subjected to
three levels of moderate water stress (page 128)</t>
        </r>
      </text>
    </comment>
    <comment ref="L33" authorId="0" shapeId="0" xr:uid="{466E1765-C4EB-4A0B-B949-389ED2C9CADC}">
      <text>
        <r>
          <rPr>
            <b/>
            <sz val="9"/>
            <color indexed="81"/>
            <rFont val="Tahoma"/>
            <family val="2"/>
          </rPr>
          <t>Juan Baca:</t>
        </r>
        <r>
          <rPr>
            <sz val="9"/>
            <color indexed="81"/>
            <rFont val="Tahoma"/>
            <family val="2"/>
          </rPr>
          <t xml:space="preserve">
values presented here refer to the water potential measured in the stem -&gt; different water stress levels; Control = 1MPa</t>
        </r>
      </text>
    </comment>
    <comment ref="J36" authorId="0" shapeId="0" xr:uid="{33911CA4-FA0C-4BD6-BF57-1053BE5A2B94}">
      <text>
        <r>
          <rPr>
            <b/>
            <sz val="9"/>
            <color indexed="81"/>
            <rFont val="Tahoma"/>
            <family val="2"/>
          </rPr>
          <t>Juan Baca:</t>
        </r>
        <r>
          <rPr>
            <sz val="9"/>
            <color indexed="81"/>
            <rFont val="Tahoma"/>
            <family val="2"/>
          </rPr>
          <t xml:space="preserve">
When 4-week (seedling stage), 8-week (flowering stage) and 11-week (podding stage) old, 16 plants from each stage were randomly divided into the control and waterlogging treatment group (page 432)</t>
        </r>
      </text>
    </comment>
    <comment ref="W36" authorId="0" shapeId="0" xr:uid="{73D18701-823C-411E-ACE3-F449B866D746}">
      <text>
        <r>
          <rPr>
            <b/>
            <sz val="9"/>
            <color indexed="81"/>
            <rFont val="Tahoma"/>
            <family val="2"/>
          </rPr>
          <t>Juan Baca:</t>
        </r>
        <r>
          <rPr>
            <sz val="9"/>
            <color indexed="81"/>
            <rFont val="Tahoma"/>
            <family val="2"/>
          </rPr>
          <t xml:space="preserve">
only values during seedling (vegetative) stage included</t>
        </r>
      </text>
    </comment>
    <comment ref="J42" authorId="0" shapeId="0" xr:uid="{F8EC4E52-EF05-4E92-A89A-FC7ADFB38486}">
      <text>
        <r>
          <rPr>
            <b/>
            <sz val="9"/>
            <color indexed="81"/>
            <rFont val="Tahoma"/>
            <family val="2"/>
          </rPr>
          <t>Juan Baca:</t>
        </r>
        <r>
          <rPr>
            <sz val="9"/>
            <color indexed="81"/>
            <rFont val="Tahoma"/>
            <family val="2"/>
          </rPr>
          <t xml:space="preserve">
At the analyzing stage, plants were 45–52-day-old and had developed 5–7 leaves (page 119)</t>
        </r>
      </text>
    </comment>
    <comment ref="L45" authorId="0" shapeId="0" xr:uid="{6715BC0C-8A31-45E3-881C-C0FCB7DC2782}">
      <text>
        <r>
          <rPr>
            <b/>
            <sz val="9"/>
            <color indexed="81"/>
            <rFont val="Tahoma"/>
            <family val="2"/>
          </rPr>
          <t>Juan Baca:</t>
        </r>
        <r>
          <rPr>
            <sz val="9"/>
            <color indexed="81"/>
            <rFont val="Tahoma"/>
            <family val="2"/>
          </rPr>
          <t xml:space="preserve">
AQP inhibitiond by application of mercuric chloride</t>
        </r>
      </text>
    </comment>
    <comment ref="J51" authorId="0" shapeId="0" xr:uid="{56B2DA37-71F3-4D32-98B5-BA9C2A0C1232}">
      <text>
        <r>
          <rPr>
            <b/>
            <sz val="9"/>
            <color indexed="81"/>
            <rFont val="Tahoma"/>
            <family val="2"/>
          </rPr>
          <t>Juan Baca:</t>
        </r>
        <r>
          <rPr>
            <sz val="9"/>
            <color indexed="81"/>
            <rFont val="Tahoma"/>
            <family val="2"/>
          </rPr>
          <t xml:space="preserve">
Seedlings were transplanted six weeks after germination into pots (page 2) + 6 week water stress treatment (legend Fig 1)</t>
        </r>
      </text>
    </comment>
    <comment ref="J55" authorId="0" shapeId="0" xr:uid="{56A4A557-8319-4988-A3AB-724C3B0B804B}">
      <text>
        <r>
          <rPr>
            <b/>
            <sz val="9"/>
            <color indexed="81"/>
            <rFont val="Tahoma"/>
            <family val="2"/>
          </rPr>
          <t>Juan Baca:</t>
        </r>
        <r>
          <rPr>
            <sz val="9"/>
            <color indexed="81"/>
            <rFont val="Tahoma"/>
            <family val="2"/>
          </rPr>
          <t xml:space="preserve">
Root hydraulic conductivity (Lpr) was measured in April-May 2019 from 9AM to 12PM on 15 day old plants (page 3)</t>
        </r>
      </text>
    </comment>
    <comment ref="W55" authorId="0" shapeId="0" xr:uid="{22BD8FDC-8504-4EFC-AD5B-8E53206977DA}">
      <text>
        <r>
          <rPr>
            <b/>
            <sz val="9"/>
            <color indexed="81"/>
            <rFont val="Tahoma"/>
            <family val="2"/>
          </rPr>
          <t>Juan Baca:</t>
        </r>
        <r>
          <rPr>
            <sz val="9"/>
            <color indexed="81"/>
            <rFont val="Tahoma"/>
            <family val="2"/>
          </rPr>
          <t xml:space="preserve">
Conductance/conductivity values extracted from Table S6</t>
        </r>
      </text>
    </comment>
    <comment ref="AD55" authorId="0" shapeId="0" xr:uid="{785C1279-4993-46B3-A8AD-C47578EDE0DA}">
      <text>
        <r>
          <rPr>
            <b/>
            <sz val="9"/>
            <color indexed="81"/>
            <rFont val="Tahoma"/>
            <family val="2"/>
          </rPr>
          <t>Juan Baca:</t>
        </r>
        <r>
          <rPr>
            <sz val="9"/>
            <color indexed="81"/>
            <rFont val="Tahoma"/>
            <family val="2"/>
          </rPr>
          <t xml:space="preserve">
root architecture parameteres extracted from Table S5</t>
        </r>
      </text>
    </comment>
    <comment ref="J59" authorId="0" shapeId="0" xr:uid="{2AAACE98-42D6-4A44-9D64-1013A9DAE649}">
      <text>
        <r>
          <rPr>
            <b/>
            <sz val="9"/>
            <color indexed="81"/>
            <rFont val="Tahoma"/>
            <family val="2"/>
          </rPr>
          <t>Juan Baca:</t>
        </r>
        <r>
          <rPr>
            <sz val="9"/>
            <color indexed="81"/>
            <rFont val="Tahoma"/>
            <family val="2"/>
          </rPr>
          <t xml:space="preserve">
3 weeks grwon in glasshouse + 10 days of treatment (page 2)</t>
        </r>
      </text>
    </comment>
    <comment ref="AD59" authorId="0" shapeId="0" xr:uid="{9A346630-88B1-449A-B56E-96A10D498199}">
      <text>
        <r>
          <rPr>
            <b/>
            <sz val="9"/>
            <color indexed="81"/>
            <rFont val="Tahoma"/>
            <family val="2"/>
          </rPr>
          <t>Juan Baca:</t>
        </r>
        <r>
          <rPr>
            <sz val="9"/>
            <color indexed="81"/>
            <rFont val="Tahoma"/>
            <family val="2"/>
          </rPr>
          <t xml:space="preserve">
morphological data from table 1</t>
        </r>
      </text>
    </comment>
    <comment ref="J63" authorId="0" shapeId="0" xr:uid="{5C42FCBA-548E-4419-B94B-5881FF890F94}">
      <text>
        <r>
          <rPr>
            <b/>
            <sz val="9"/>
            <color indexed="81"/>
            <rFont val="Tahoma"/>
            <family val="2"/>
          </rPr>
          <t>Juan Baca:</t>
        </r>
        <r>
          <rPr>
            <sz val="9"/>
            <color indexed="81"/>
            <rFont val="Tahoma"/>
            <family val="2"/>
          </rPr>
          <t xml:space="preserve">
1 year old rootlings grown for 2 months in a glasshouse (page 3)</t>
        </r>
      </text>
    </comment>
    <comment ref="J67" authorId="0" shapeId="0" xr:uid="{A4CEE906-85C2-427F-83DC-8D53ED545B02}">
      <text>
        <r>
          <rPr>
            <b/>
            <sz val="9"/>
            <color indexed="81"/>
            <rFont val="Tahoma"/>
            <family val="2"/>
          </rPr>
          <t>Juan Baca:</t>
        </r>
        <r>
          <rPr>
            <sz val="9"/>
            <color indexed="81"/>
            <rFont val="Tahoma"/>
            <family val="2"/>
          </rPr>
          <t xml:space="preserve">
1-year old genotypes, page 719; experiment started in september and conditions were kept until january and then 7 weeks of drought tretament (page 719)</t>
        </r>
      </text>
    </comment>
    <comment ref="L67" authorId="0" shapeId="0" xr:uid="{A2021F11-F2DB-4BBD-9620-E899858D019C}">
      <text>
        <r>
          <rPr>
            <b/>
            <sz val="9"/>
            <color indexed="81"/>
            <rFont val="Tahoma"/>
            <family val="2"/>
          </rPr>
          <t>Juan Baca:</t>
        </r>
        <r>
          <rPr>
            <sz val="9"/>
            <color indexed="81"/>
            <rFont val="Tahoma"/>
            <family val="2"/>
          </rPr>
          <t xml:space="preserve">
the number refers of the clone (genotype) classification</t>
        </r>
      </text>
    </comment>
    <comment ref="AF67" authorId="0" shapeId="0" xr:uid="{7E570042-C745-436D-BA11-0E631BE76211}">
      <text>
        <r>
          <rPr>
            <b/>
            <sz val="9"/>
            <color indexed="81"/>
            <rFont val="Tahoma"/>
            <family val="2"/>
          </rPr>
          <t>Juan Baca:</t>
        </r>
        <r>
          <rPr>
            <sz val="9"/>
            <color indexed="81"/>
            <rFont val="Tahoma"/>
            <family val="2"/>
          </rPr>
          <t xml:space="preserve">
data extracted directly from Table 1</t>
        </r>
      </text>
    </comment>
    <comment ref="J73" authorId="0" shapeId="0" xr:uid="{4BA24751-B2D1-4126-BAAE-CAB609FDDB46}">
      <text>
        <r>
          <rPr>
            <b/>
            <sz val="9"/>
            <color indexed="81"/>
            <rFont val="Tahoma"/>
            <family val="2"/>
          </rPr>
          <t>Juan Baca:</t>
        </r>
        <r>
          <rPr>
            <sz val="9"/>
            <color indexed="81"/>
            <rFont val="Tahoma"/>
            <family val="2"/>
          </rPr>
          <t xml:space="preserve">
six week old plants were used for measurements (page 153)</t>
        </r>
      </text>
    </comment>
    <comment ref="L73" authorId="0" shapeId="0" xr:uid="{FD51DCCA-F086-41AD-9550-CBB4B52F0AE9}">
      <text>
        <r>
          <rPr>
            <b/>
            <sz val="9"/>
            <color indexed="81"/>
            <rFont val="Tahoma"/>
            <family val="2"/>
          </rPr>
          <t>Juan Baca:</t>
        </r>
        <r>
          <rPr>
            <sz val="9"/>
            <color indexed="81"/>
            <rFont val="Tahoma"/>
            <family val="2"/>
          </rPr>
          <t xml:space="preserve">
in this case the control treatment were wild type plants, while the "inhibited" treatements were mutant lines in which AQP PIP2 is drastically reduced</t>
        </r>
      </text>
    </comment>
    <comment ref="AD73" authorId="0" shapeId="0" xr:uid="{8500B2CF-AE48-48F3-B996-92675C69FC5D}">
      <text>
        <r>
          <rPr>
            <b/>
            <sz val="9"/>
            <color indexed="81"/>
            <rFont val="Tahoma"/>
            <family val="2"/>
          </rPr>
          <t>Juan Baca:</t>
        </r>
        <r>
          <rPr>
            <sz val="9"/>
            <color indexed="81"/>
            <rFont val="Tahoma"/>
            <family val="2"/>
          </rPr>
          <t xml:space="preserve">
morphological data from table 2</t>
        </r>
      </text>
    </comment>
    <comment ref="J76" authorId="0" shapeId="0" xr:uid="{78696B00-CF5F-4C49-B656-D65D557A0237}">
      <text>
        <r>
          <rPr>
            <b/>
            <sz val="9"/>
            <color indexed="81"/>
            <rFont val="Tahoma"/>
            <family val="2"/>
          </rPr>
          <t>Juan Baca:</t>
        </r>
        <r>
          <rPr>
            <sz val="9"/>
            <color indexed="81"/>
            <rFont val="Tahoma"/>
            <family val="2"/>
          </rPr>
          <t xml:space="preserve">
after 3 week growrth seedling were inoculated with micorrhiza and raised for 9 weeks and after that during 4 weeks treatments were applied (treatments include day length and temperature)
see Table 1 for details;
Kr was measured 3 weeks after exposure to frost, which occured after week 17</t>
        </r>
      </text>
    </comment>
    <comment ref="K76" authorId="0" shapeId="0" xr:uid="{B213F1F7-719D-4BAA-89A4-40682C2D1C0B}">
      <text>
        <r>
          <rPr>
            <b/>
            <sz val="9"/>
            <color indexed="81"/>
            <rFont val="Tahoma"/>
            <family val="2"/>
          </rPr>
          <t>Juan Baca:</t>
        </r>
        <r>
          <rPr>
            <sz val="9"/>
            <color indexed="81"/>
            <rFont val="Tahoma"/>
            <family val="2"/>
          </rPr>
          <t xml:space="preserve">
hardening is obtained by exposing seedling to short day length and low temperature (sort of winter conditions)</t>
        </r>
      </text>
    </comment>
    <comment ref="L76" authorId="0" shapeId="0" xr:uid="{2AC7541C-E712-480E-86C3-A5E8294CC5F1}">
      <text>
        <r>
          <rPr>
            <b/>
            <sz val="9"/>
            <color indexed="81"/>
            <rFont val="Tahoma"/>
            <family val="2"/>
          </rPr>
          <t>Juan Baca:</t>
        </r>
        <r>
          <rPr>
            <sz val="9"/>
            <color indexed="81"/>
            <rFont val="Tahoma"/>
            <family val="2"/>
          </rPr>
          <t xml:space="preserve">
LDHT means long day hight temperature -&gt; no hardening; SDLT mean short day low temperature -&gt; hardening; NM means no mycorrhiza, otherwise the tretament indicates the mycorrhiza used fot inoculation;
there is not really a control treatment among the MC inoculation types</t>
        </r>
      </text>
    </comment>
    <comment ref="W76" authorId="0" shapeId="0" xr:uid="{D99C49AE-6694-411E-BA15-5F0FAF208F70}">
      <text>
        <r>
          <rPr>
            <b/>
            <sz val="9"/>
            <color indexed="81"/>
            <rFont val="Tahoma"/>
            <family val="2"/>
          </rPr>
          <t>Juan Baca:</t>
        </r>
        <r>
          <rPr>
            <sz val="9"/>
            <color indexed="81"/>
            <rFont val="Tahoma"/>
            <family val="2"/>
          </rPr>
          <t xml:space="preserve">
data from Table 4</t>
        </r>
      </text>
    </comment>
    <comment ref="J82" authorId="0" shapeId="0" xr:uid="{831B17A2-F4DB-4C74-B774-CF5AF4DB6CA1}">
      <text>
        <r>
          <rPr>
            <b/>
            <sz val="9"/>
            <color indexed="81"/>
            <rFont val="Tahoma"/>
            <family val="2"/>
          </rPr>
          <t>Juan Baca:</t>
        </r>
        <r>
          <rPr>
            <sz val="9"/>
            <color indexed="81"/>
            <rFont val="Tahoma"/>
            <family val="2"/>
          </rPr>
          <t xml:space="preserve">
3 month growth + 2 moth drought treatment? Not really clear</t>
        </r>
      </text>
    </comment>
    <comment ref="L82" authorId="0" shapeId="0" xr:uid="{F14EFA25-A04D-452B-9687-4437C322FE6E}">
      <text>
        <r>
          <rPr>
            <b/>
            <sz val="9"/>
            <color indexed="81"/>
            <rFont val="Tahoma"/>
            <family val="2"/>
          </rPr>
          <t>Juan Baca:</t>
        </r>
        <r>
          <rPr>
            <sz val="9"/>
            <color indexed="81"/>
            <rFont val="Tahoma"/>
            <family val="2"/>
          </rPr>
          <t xml:space="preserve">
WT is wild type (or rather non transgenic)
RNA lines are genes inhibited, while OE lines are lines with overexpression of genes of importance for root development</t>
        </r>
      </text>
    </comment>
    <comment ref="J96" authorId="0" shapeId="0" xr:uid="{FAF50521-9901-4935-91CA-DB39A95C7C42}">
      <text>
        <r>
          <rPr>
            <b/>
            <sz val="9"/>
            <color indexed="81"/>
            <rFont val="Tahoma"/>
            <family val="2"/>
          </rPr>
          <t>Juan Baca:</t>
        </r>
        <r>
          <rPr>
            <sz val="9"/>
            <color indexed="81"/>
            <rFont val="Tahoma"/>
            <family val="2"/>
          </rPr>
          <t xml:space="preserve">
2-3 months grown in tubestock + 3-4 months grown into pots</t>
        </r>
      </text>
    </comment>
    <comment ref="L96" authorId="0" shapeId="0" xr:uid="{033741C1-8FDE-4841-8FDD-717837B7D510}">
      <text>
        <r>
          <rPr>
            <b/>
            <sz val="9"/>
            <color indexed="81"/>
            <rFont val="Tahoma"/>
            <family val="2"/>
          </rPr>
          <t>Juan Baca:</t>
        </r>
        <r>
          <rPr>
            <sz val="9"/>
            <color indexed="81"/>
            <rFont val="Tahoma"/>
            <family val="2"/>
          </rPr>
          <t xml:space="preserve">
values are averages of conductance at different stem water potentials (Control implies values before a conductivity loss is observed)</t>
        </r>
      </text>
    </comment>
    <comment ref="J108" authorId="0" shapeId="0" xr:uid="{4E2A2B0D-4B5E-41D5-9AE7-761CDC2050C7}">
      <text>
        <r>
          <rPr>
            <b/>
            <sz val="9"/>
            <color indexed="81"/>
            <rFont val="Tahoma"/>
            <family val="2"/>
          </rPr>
          <t>Juan Baca:</t>
        </r>
        <r>
          <rPr>
            <sz val="9"/>
            <color indexed="81"/>
            <rFont val="Tahoma"/>
            <family val="2"/>
          </rPr>
          <t xml:space="preserve">
One-year-old, container-grown (415D styroblock, Beaver Plastics, Acheson, Canada) red-osier dogwood (Cornus sericea) and paper birch (Betula papyrifera) (page 1002)</t>
        </r>
      </text>
    </comment>
    <comment ref="AA108" authorId="0" shapeId="0" xr:uid="{B3824E51-F148-4456-9B0E-519188ABD485}">
      <text>
        <r>
          <rPr>
            <b/>
            <sz val="9"/>
            <color indexed="81"/>
            <rFont val="Tahoma"/>
            <family val="2"/>
          </rPr>
          <t>Juan Baca:</t>
        </r>
        <r>
          <rPr>
            <sz val="9"/>
            <color indexed="81"/>
            <rFont val="Tahoma"/>
            <family val="2"/>
          </rPr>
          <t xml:space="preserve">
data from text (page 1004)</t>
        </r>
      </text>
    </comment>
    <comment ref="J114" authorId="0" shapeId="0" xr:uid="{A3BC426F-E52A-44B6-B231-8ABBC4F5D935}">
      <text>
        <r>
          <rPr>
            <b/>
            <sz val="9"/>
            <color indexed="81"/>
            <rFont val="Tahoma"/>
            <family val="2"/>
          </rPr>
          <t>Juan Baca:</t>
        </r>
        <r>
          <rPr>
            <sz val="9"/>
            <color indexed="81"/>
            <rFont val="Tahoma"/>
            <family val="2"/>
          </rPr>
          <t xml:space="preserve">
7 days of treatment, but growth duration not reported (only reported number of leaves the plant had when the treatment started)</t>
        </r>
      </text>
    </comment>
    <comment ref="J118" authorId="0" shapeId="0" xr:uid="{8E15C0B0-0500-4666-891B-647D39ADB83E}">
      <text>
        <r>
          <rPr>
            <b/>
            <sz val="9"/>
            <color indexed="81"/>
            <rFont val="Tahoma"/>
            <family val="2"/>
          </rPr>
          <t>Juan Baca:</t>
        </r>
        <r>
          <rPr>
            <sz val="9"/>
            <color indexed="81"/>
            <rFont val="Tahoma"/>
            <family val="2"/>
          </rPr>
          <t xml:space="preserve">
3 days germination in dark + 4-5 days in 3 liter containers</t>
        </r>
      </text>
    </comment>
    <comment ref="K118" authorId="0" shapeId="0" xr:uid="{94287491-5F38-415B-BDC1-B5898EEAE273}">
      <text>
        <r>
          <rPr>
            <b/>
            <sz val="9"/>
            <color indexed="81"/>
            <rFont val="Tahoma"/>
            <family val="2"/>
          </rPr>
          <t>Juan Baca:</t>
        </r>
        <r>
          <rPr>
            <sz val="9"/>
            <color indexed="81"/>
            <rFont val="Tahoma"/>
            <family val="2"/>
          </rPr>
          <t xml:space="preserve">
AQP inhibition achieved by producing hydroxil radicals with the Fenton reaction</t>
        </r>
      </text>
    </comment>
    <comment ref="X118" authorId="0" shapeId="0" xr:uid="{7AFE5E02-10D8-417E-8A0C-B9ADCAAB1193}">
      <text>
        <r>
          <rPr>
            <b/>
            <sz val="9"/>
            <color indexed="81"/>
            <rFont val="Tahoma"/>
            <family val="2"/>
          </rPr>
          <t>Juan Baca:</t>
        </r>
        <r>
          <rPr>
            <sz val="9"/>
            <color indexed="81"/>
            <rFont val="Tahoma"/>
            <family val="2"/>
          </rPr>
          <t xml:space="preserve">
data from table 1</t>
        </r>
      </text>
    </comment>
    <comment ref="AG118" authorId="0" shapeId="0" xr:uid="{727A0317-5552-48E2-BD71-A85C7E9A5385}">
      <text>
        <r>
          <rPr>
            <b/>
            <sz val="9"/>
            <color indexed="81"/>
            <rFont val="Tahoma"/>
            <family val="2"/>
          </rPr>
          <t>Juan Baca:</t>
        </r>
        <r>
          <rPr>
            <sz val="9"/>
            <color indexed="81"/>
            <rFont val="Tahoma"/>
            <family val="2"/>
          </rPr>
          <t xml:space="preserve">
data from text (page 780)</t>
        </r>
      </text>
    </comment>
    <comment ref="J126" authorId="0" shapeId="0" xr:uid="{48A7B6E6-9F97-4F0B-B779-B953785A1B8B}">
      <text>
        <r>
          <rPr>
            <b/>
            <sz val="9"/>
            <color indexed="81"/>
            <rFont val="Tahoma"/>
            <family val="2"/>
          </rPr>
          <t>Juan Baca:</t>
        </r>
        <r>
          <rPr>
            <sz val="9"/>
            <color indexed="81"/>
            <rFont val="Tahoma"/>
            <family val="2"/>
          </rPr>
          <t xml:space="preserve">
10 month old seedlings (page 2/19)</t>
        </r>
      </text>
    </comment>
    <comment ref="W126" authorId="0" shapeId="0" xr:uid="{F3DBA80C-FF40-4846-9782-C2B38F517789}">
      <text>
        <r>
          <rPr>
            <b/>
            <sz val="9"/>
            <color indexed="81"/>
            <rFont val="Tahoma"/>
            <family val="2"/>
          </rPr>
          <t>Juan Baca:</t>
        </r>
        <r>
          <rPr>
            <sz val="9"/>
            <color indexed="81"/>
            <rFont val="Tahoma"/>
            <family val="2"/>
          </rPr>
          <t xml:space="preserve">
data extracted from text (page 7/19)</t>
        </r>
      </text>
    </comment>
    <comment ref="Y126" authorId="0" shapeId="0" xr:uid="{D6DDCB35-F497-403A-8D54-EFD701299537}">
      <text>
        <r>
          <rPr>
            <b/>
            <sz val="9"/>
            <color indexed="81"/>
            <rFont val="Tahoma"/>
            <family val="2"/>
          </rPr>
          <t>Juan Baca:</t>
        </r>
        <r>
          <rPr>
            <sz val="9"/>
            <color indexed="81"/>
            <rFont val="Tahoma"/>
            <family val="2"/>
          </rPr>
          <t xml:space="preserve">
from table 2</t>
        </r>
      </text>
    </comment>
    <comment ref="AF126" authorId="0" shapeId="0" xr:uid="{93F73F85-C9C1-4B9B-B027-24B09FA5A9C8}">
      <text>
        <r>
          <rPr>
            <b/>
            <sz val="9"/>
            <color indexed="81"/>
            <rFont val="Tahoma"/>
            <family val="2"/>
          </rPr>
          <t>Juan Baca:</t>
        </r>
        <r>
          <rPr>
            <sz val="9"/>
            <color indexed="81"/>
            <rFont val="Tahoma"/>
            <family val="2"/>
          </rPr>
          <t xml:space="preserve">
data from table 1</t>
        </r>
      </text>
    </comment>
    <comment ref="J128" authorId="0" shapeId="0" xr:uid="{451361D7-D287-41BA-BD22-6C90D275BC52}">
      <text>
        <r>
          <rPr>
            <b/>
            <sz val="9"/>
            <color indexed="81"/>
            <rFont val="Tahoma"/>
            <family val="2"/>
          </rPr>
          <t>Juan Baca:</t>
        </r>
        <r>
          <rPr>
            <sz val="9"/>
            <color indexed="81"/>
            <rFont val="Tahoma"/>
            <family val="2"/>
          </rPr>
          <t xml:space="preserve">
plamt grown in sandbox and then 12 days in spli-plot containers. No clear information about when the were transplanted to the containers (page 178) -&gt; 6 days assumed;
measurements performed from 0 -9 days after treatment  </t>
        </r>
      </text>
    </comment>
    <comment ref="AD128" authorId="0" shapeId="0" xr:uid="{D3D58FA6-6FC7-469E-8355-05CCB4B039D5}">
      <text>
        <r>
          <rPr>
            <b/>
            <sz val="9"/>
            <color indexed="81"/>
            <rFont val="Tahoma"/>
            <family val="2"/>
          </rPr>
          <t>Juan Baca:</t>
        </r>
        <r>
          <rPr>
            <sz val="9"/>
            <color indexed="81"/>
            <rFont val="Tahoma"/>
            <family val="2"/>
          </rPr>
          <t xml:space="preserve">
based on total root area (that is how conductivity was calculated. Actually there were differences in area and weight between the split containers (in the plants that were under osmotic stress)</t>
        </r>
      </text>
    </comment>
    <comment ref="J144" authorId="0" shapeId="0" xr:uid="{C9A99421-C570-4D59-9E50-EE1AC8CC9145}">
      <text>
        <r>
          <rPr>
            <b/>
            <sz val="9"/>
            <color indexed="81"/>
            <rFont val="Tahoma"/>
            <family val="2"/>
          </rPr>
          <t>Juan Baca:</t>
        </r>
        <r>
          <rPr>
            <sz val="9"/>
            <color indexed="81"/>
            <rFont val="Tahoma"/>
            <family val="2"/>
          </rPr>
          <t xml:space="preserve">
Analyses were carried out on 3-week- (21 d) old plants (page 810)</t>
        </r>
      </text>
    </comment>
    <comment ref="AB144" authorId="0" shapeId="0" xr:uid="{AFC84259-0AD5-4140-9717-470A055BD2B6}">
      <text>
        <r>
          <rPr>
            <b/>
            <sz val="9"/>
            <color indexed="81"/>
            <rFont val="Tahoma"/>
            <family val="2"/>
          </rPr>
          <t>Juan Baca:</t>
        </r>
        <r>
          <rPr>
            <sz val="9"/>
            <color indexed="81"/>
            <rFont val="Tahoma"/>
            <family val="2"/>
          </rPr>
          <t xml:space="preserve">
Table 1</t>
        </r>
      </text>
    </comment>
    <comment ref="J147" authorId="0" shapeId="0" xr:uid="{3CFCAF8A-392F-4539-BC9F-22F19D25C932}">
      <text>
        <r>
          <rPr>
            <b/>
            <sz val="9"/>
            <color indexed="81"/>
            <rFont val="Tahoma"/>
            <family val="2"/>
          </rPr>
          <t>Juan Baca:</t>
        </r>
        <r>
          <rPr>
            <sz val="9"/>
            <color indexed="81"/>
            <rFont val="Tahoma"/>
            <family val="2"/>
          </rPr>
          <t xml:space="preserve">
Planting was staggered so that each plant had
grown for 25 d at the time of root hydraulic conductivity measurement (page 714) </t>
        </r>
      </text>
    </comment>
    <comment ref="K147" authorId="0" shapeId="0" xr:uid="{3825DBA2-590F-4D7D-B1D5-F93EFE7B3B52}">
      <text>
        <r>
          <rPr>
            <b/>
            <sz val="9"/>
            <color indexed="81"/>
            <rFont val="Tahoma"/>
            <family val="2"/>
          </rPr>
          <t>Juan Baca:</t>
        </r>
        <r>
          <rPr>
            <sz val="9"/>
            <color indexed="81"/>
            <rFont val="Tahoma"/>
            <family val="2"/>
          </rPr>
          <t xml:space="preserve">
air VPD vin the chambers aried between 0.85 and 3.97kPA  </t>
        </r>
      </text>
    </comment>
    <comment ref="J179" authorId="0" shapeId="0" xr:uid="{D3215BA5-5A48-4DB7-A705-202414EF45AC}">
      <text>
        <r>
          <rPr>
            <b/>
            <sz val="9"/>
            <color indexed="81"/>
            <rFont val="Tahoma"/>
            <family val="2"/>
          </rPr>
          <t>Juan Baca:</t>
        </r>
        <r>
          <rPr>
            <sz val="9"/>
            <color indexed="81"/>
            <rFont val="Tahoma"/>
            <family val="2"/>
          </rPr>
          <t xml:space="preserve">
Data from Table 1</t>
        </r>
      </text>
    </comment>
    <comment ref="L179" authorId="0" shapeId="0" xr:uid="{B4030923-AEB8-4065-84BF-F5E231049514}">
      <text>
        <r>
          <rPr>
            <b/>
            <sz val="9"/>
            <color indexed="81"/>
            <rFont val="Tahoma"/>
            <family val="2"/>
          </rPr>
          <t>Juan Baca:</t>
        </r>
        <r>
          <rPr>
            <sz val="9"/>
            <color indexed="81"/>
            <rFont val="Tahoma"/>
            <family val="2"/>
          </rPr>
          <t xml:space="preserve">
AQP inhibition achieved by applying and azide solution to the soil</t>
        </r>
      </text>
    </comment>
    <comment ref="AB179" authorId="0" shapeId="0" xr:uid="{44611934-9B24-4223-B87E-092A8D99F122}">
      <text>
        <r>
          <rPr>
            <b/>
            <sz val="9"/>
            <color indexed="81"/>
            <rFont val="Tahoma"/>
            <family val="2"/>
          </rPr>
          <t>Juan Baca:</t>
        </r>
        <r>
          <rPr>
            <sz val="9"/>
            <color indexed="81"/>
            <rFont val="Tahoma"/>
            <family val="2"/>
          </rPr>
          <t xml:space="preserve">
Data from Table 2</t>
        </r>
      </text>
    </comment>
    <comment ref="AD179" authorId="0" shapeId="0" xr:uid="{617C0CEF-FA39-45F7-9884-4F3FDC9558F2}">
      <text>
        <r>
          <rPr>
            <b/>
            <sz val="9"/>
            <color indexed="81"/>
            <rFont val="Tahoma"/>
            <family val="2"/>
          </rPr>
          <t>Juan Baca:</t>
        </r>
        <r>
          <rPr>
            <sz val="9"/>
            <color indexed="81"/>
            <rFont val="Tahoma"/>
            <family val="2"/>
          </rPr>
          <t xml:space="preserve">
all  morphological data (with the exception of root diameter) extracted from Table S7; unit of surface area is not so clear in the legend of Table S7 -&gt;  units "assumed"</t>
        </r>
      </text>
    </comment>
    <comment ref="AH179" authorId="0" shapeId="0" xr:uid="{5C96A908-7BB9-4EAC-B3DE-A3832DFDA9A5}">
      <text>
        <r>
          <rPr>
            <b/>
            <sz val="9"/>
            <color indexed="81"/>
            <rFont val="Tahoma"/>
            <family val="2"/>
          </rPr>
          <t>Juan Baca:</t>
        </r>
        <r>
          <rPr>
            <sz val="9"/>
            <color indexed="81"/>
            <rFont val="Tahoma"/>
            <family val="2"/>
          </rPr>
          <t xml:space="preserve">
Data from Table 4 (only values measured at 5 cm from apex are taken</t>
        </r>
      </text>
    </comment>
    <comment ref="J203" authorId="0" shapeId="0" xr:uid="{4EF13C33-1F15-4B5C-A54F-14293809D6EA}">
      <text>
        <r>
          <rPr>
            <b/>
            <sz val="9"/>
            <color indexed="81"/>
            <rFont val="Tahoma"/>
            <family val="2"/>
          </rPr>
          <t>Juan Baca:</t>
        </r>
        <r>
          <rPr>
            <sz val="9"/>
            <color indexed="81"/>
            <rFont val="Tahoma"/>
            <family val="2"/>
          </rPr>
          <t xml:space="preserve">
no clear information about the age -&gt; seedlings</t>
        </r>
      </text>
    </comment>
    <comment ref="J207" authorId="0" shapeId="0" xr:uid="{9D472D9E-408C-4E4A-B25E-DF616D11BB90}">
      <text>
        <r>
          <rPr>
            <b/>
            <sz val="9"/>
            <color indexed="81"/>
            <rFont val="Tahoma"/>
            <family val="2"/>
          </rPr>
          <t>Juan Baca:</t>
        </r>
        <r>
          <rPr>
            <sz val="9"/>
            <color indexed="81"/>
            <rFont val="Tahoma"/>
            <family val="2"/>
          </rPr>
          <t xml:space="preserve">
Four-day-old barley plants were treated with NaCl or sorbitol for the indicated amount of time prior to the pressure chamber experiments (page 881)</t>
        </r>
      </text>
    </comment>
    <comment ref="J215" authorId="0" shapeId="0" xr:uid="{0DD308A8-8F4E-41F5-A7B2-DE0EAC48CBCE}">
      <text>
        <r>
          <rPr>
            <b/>
            <sz val="9"/>
            <color indexed="81"/>
            <rFont val="Tahoma"/>
            <family val="2"/>
          </rPr>
          <t>Juan Baca:</t>
        </r>
        <r>
          <rPr>
            <sz val="9"/>
            <color indexed="81"/>
            <rFont val="Tahoma"/>
            <family val="2"/>
          </rPr>
          <t xml:space="preserve">
Root hydraulic conductance
was measured 3 weeks after sowing (page 106)</t>
        </r>
      </text>
    </comment>
    <comment ref="AB215" authorId="0" shapeId="0" xr:uid="{53DB35A2-C928-40CB-B42B-2A2542D775BF}">
      <text>
        <r>
          <rPr>
            <b/>
            <sz val="9"/>
            <color indexed="81"/>
            <rFont val="Tahoma"/>
            <family val="2"/>
          </rPr>
          <t>Juan Baca:</t>
        </r>
        <r>
          <rPr>
            <sz val="9"/>
            <color indexed="81"/>
            <rFont val="Tahoma"/>
            <family val="2"/>
          </rPr>
          <t xml:space="preserve">
all data from table 3</t>
        </r>
      </text>
    </comment>
    <comment ref="J217" authorId="0" shapeId="0" xr:uid="{DD19539D-08AB-4F70-B4C7-F5617BD8B235}">
      <text>
        <r>
          <rPr>
            <b/>
            <sz val="9"/>
            <color indexed="81"/>
            <rFont val="Tahoma"/>
            <family val="2"/>
          </rPr>
          <t>Juan Baca:</t>
        </r>
        <r>
          <rPr>
            <sz val="9"/>
            <color indexed="81"/>
            <rFont val="Tahoma"/>
            <family val="2"/>
          </rPr>
          <t xml:space="preserve">
all steps with their duration are described in page 15-16
</t>
        </r>
      </text>
    </comment>
    <comment ref="AE217" authorId="0" shapeId="0" xr:uid="{3A397413-A06C-4AB0-ABFF-5FFC51BC56F9}">
      <text>
        <r>
          <rPr>
            <b/>
            <sz val="9"/>
            <color indexed="81"/>
            <rFont val="Tahoma"/>
            <family val="2"/>
          </rPr>
          <t>Juan Baca:</t>
        </r>
        <r>
          <rPr>
            <sz val="9"/>
            <color indexed="81"/>
            <rFont val="Tahoma"/>
            <family val="2"/>
          </rPr>
          <t xml:space="preserve">
morphological data extracted from table 2</t>
        </r>
      </text>
    </comment>
    <comment ref="J225" authorId="0" shapeId="0" xr:uid="{3A9A95AA-8374-4E24-AE8F-E80B1444EECF}">
      <text>
        <r>
          <rPr>
            <b/>
            <sz val="9"/>
            <color indexed="81"/>
            <rFont val="Tahoma"/>
            <family val="2"/>
          </rPr>
          <t>Juan Baca:</t>
        </r>
        <r>
          <rPr>
            <sz val="9"/>
            <color indexed="81"/>
            <rFont val="Tahoma"/>
            <family val="2"/>
          </rPr>
          <t xml:space="preserve">
no clear infromation about the age, but at least 1 year (experiments run during two reasons</t>
        </r>
      </text>
    </comment>
    <comment ref="AG225" authorId="0" shapeId="0" xr:uid="{18F99C27-2071-4119-9348-8859255D785A}">
      <text>
        <r>
          <rPr>
            <b/>
            <sz val="9"/>
            <color indexed="81"/>
            <rFont val="Tahoma"/>
            <family val="2"/>
          </rPr>
          <t>Juan Baca:</t>
        </r>
        <r>
          <rPr>
            <sz val="9"/>
            <color indexed="81"/>
            <rFont val="Tahoma"/>
            <family val="2"/>
          </rPr>
          <t xml:space="preserve">
data from table 1</t>
        </r>
      </text>
    </comment>
    <comment ref="J233" authorId="0" shapeId="0" xr:uid="{54BE56A1-089D-4A33-A26D-47747DC172FC}">
      <text>
        <r>
          <rPr>
            <b/>
            <sz val="9"/>
            <color indexed="81"/>
            <rFont val="Tahoma"/>
            <family val="2"/>
          </rPr>
          <t>Juan Baca:</t>
        </r>
        <r>
          <rPr>
            <sz val="9"/>
            <color indexed="81"/>
            <rFont val="Tahoma"/>
            <family val="2"/>
          </rPr>
          <t xml:space="preserve">
1 year old grapevines + 4 months growth (page 521)</t>
        </r>
      </text>
    </comment>
    <comment ref="K233" authorId="0" shapeId="0" xr:uid="{870F7A54-620B-4C24-9797-F51FA526F787}">
      <text>
        <r>
          <rPr>
            <b/>
            <sz val="9"/>
            <color indexed="81"/>
            <rFont val="Tahoma"/>
            <family val="2"/>
          </rPr>
          <t>Juan Baca:</t>
        </r>
        <r>
          <rPr>
            <sz val="9"/>
            <color indexed="81"/>
            <rFont val="Tahoma"/>
            <family val="2"/>
          </rPr>
          <t xml:space="preserve">
there were multiple experiments with different level of detail. Data presneted here refer to the main experiment: "Shoot topping treatments"</t>
        </r>
      </text>
    </comment>
    <comment ref="Y233" authorId="0" shapeId="0" xr:uid="{D9B06AA4-F8DB-471F-AAE3-172F12D940EE}">
      <text>
        <r>
          <rPr>
            <b/>
            <sz val="9"/>
            <color indexed="81"/>
            <rFont val="Tahoma"/>
            <family val="2"/>
          </rPr>
          <t>Juan Baca:</t>
        </r>
        <r>
          <rPr>
            <sz val="9"/>
            <color indexed="81"/>
            <rFont val="Tahoma"/>
            <family val="2"/>
          </rPr>
          <t xml:space="preserve">
extracted from Table 1</t>
        </r>
      </text>
    </comment>
    <comment ref="J234" authorId="0" shapeId="0" xr:uid="{3DB27536-04FC-428D-B507-AEF6FB61B156}">
      <text>
        <r>
          <rPr>
            <b/>
            <sz val="9"/>
            <color indexed="81"/>
            <rFont val="Tahoma"/>
            <family val="2"/>
          </rPr>
          <t>Juan Baca:</t>
        </r>
        <r>
          <rPr>
            <sz val="9"/>
            <color indexed="81"/>
            <rFont val="Tahoma"/>
            <family val="2"/>
          </rPr>
          <t xml:space="preserve">
maize and soybean were "used" 8 weeks after sowing</t>
        </r>
      </text>
    </comment>
    <comment ref="J239" authorId="0" shapeId="0" xr:uid="{D688F08F-7986-46FA-A1B6-ED2E0B60244D}">
      <text>
        <r>
          <rPr>
            <b/>
            <sz val="9"/>
            <color indexed="81"/>
            <rFont val="Tahoma"/>
            <family val="2"/>
          </rPr>
          <t>Juan Baca:</t>
        </r>
        <r>
          <rPr>
            <sz val="9"/>
            <color indexed="81"/>
            <rFont val="Tahoma"/>
            <family val="2"/>
          </rPr>
          <t xml:space="preserve">
grown in greehouse 5 months (page 555) + x days after treatment</t>
        </r>
      </text>
    </comment>
    <comment ref="J248" authorId="0" shapeId="0" xr:uid="{070B4E5D-D6BF-471E-B01A-A392FCA1613C}">
      <text>
        <r>
          <rPr>
            <b/>
            <sz val="9"/>
            <color indexed="81"/>
            <rFont val="Tahoma"/>
            <family val="2"/>
          </rPr>
          <t>Juan Baca:</t>
        </r>
        <r>
          <rPr>
            <sz val="9"/>
            <color indexed="81"/>
            <rFont val="Tahoma"/>
            <family val="2"/>
          </rPr>
          <t xml:space="preserve">
1-year old seedling + 2 months growth in the chamber (page 555) + x days after treatment</t>
        </r>
      </text>
    </comment>
    <comment ref="J260" authorId="0" shapeId="0" xr:uid="{0A9C2FEE-E689-4923-AB17-CC34EBA0DEE7}">
      <text>
        <r>
          <rPr>
            <b/>
            <sz val="9"/>
            <color indexed="81"/>
            <rFont val="Tahoma"/>
            <family val="2"/>
          </rPr>
          <t>Juan Baca:</t>
        </r>
        <r>
          <rPr>
            <sz val="9"/>
            <color indexed="81"/>
            <rFont val="Tahoma"/>
            <family val="2"/>
          </rPr>
          <t xml:space="preserve">
4 days of germianation in incubator then transplanted and 12 days before measurements + 7? days after treatment start (page 4748)</t>
        </r>
      </text>
    </comment>
    <comment ref="J264" authorId="0" shapeId="0" xr:uid="{E6F40071-4BFE-49A6-A0E4-FE1D1D0C79A7}">
      <text>
        <r>
          <rPr>
            <b/>
            <sz val="9"/>
            <color indexed="81"/>
            <rFont val="Tahoma"/>
            <family val="2"/>
          </rPr>
          <t>Juan Baca:</t>
        </r>
        <r>
          <rPr>
            <sz val="9"/>
            <color indexed="81"/>
            <rFont val="Tahoma"/>
            <family val="2"/>
          </rPr>
          <t xml:space="preserve">
Sixteen-month-old dormant P. leiophylla plants were subjected to 0 (control), 100, 150, and 200 mM NaCl treatments (page 812)</t>
        </r>
      </text>
    </comment>
    <comment ref="AF264" authorId="0" shapeId="0" xr:uid="{F6BA28FE-1108-4AAE-90F5-C87A60F35244}">
      <text>
        <r>
          <rPr>
            <b/>
            <sz val="9"/>
            <color indexed="81"/>
            <rFont val="Tahoma"/>
            <family val="2"/>
          </rPr>
          <t>Juan Baca:</t>
        </r>
        <r>
          <rPr>
            <sz val="9"/>
            <color indexed="81"/>
            <rFont val="Tahoma"/>
            <family val="2"/>
          </rPr>
          <t xml:space="preserve">
data from table 1</t>
        </r>
      </text>
    </comment>
    <comment ref="J267" authorId="0" shapeId="0" xr:uid="{C0B837A5-C35D-48F3-9468-8D4309A574BA}">
      <text>
        <r>
          <rPr>
            <b/>
            <sz val="9"/>
            <color indexed="81"/>
            <rFont val="Tahoma"/>
            <family val="2"/>
          </rPr>
          <t>Juan Baca:</t>
        </r>
        <r>
          <rPr>
            <sz val="9"/>
            <color indexed="81"/>
            <rFont val="Tahoma"/>
            <family val="2"/>
          </rPr>
          <t xml:space="preserve">
age from legend Fig 2</t>
        </r>
      </text>
    </comment>
    <comment ref="J269" authorId="0" shapeId="0" xr:uid="{CAC00E5A-5714-412E-8DAB-F08FBC679E6D}">
      <text>
        <r>
          <rPr>
            <b/>
            <sz val="9"/>
            <color indexed="81"/>
            <rFont val="Tahoma"/>
            <family val="2"/>
          </rPr>
          <t>Juan Baca:</t>
        </r>
        <r>
          <rPr>
            <sz val="9"/>
            <color indexed="81"/>
            <rFont val="Tahoma"/>
            <family val="2"/>
          </rPr>
          <t xml:space="preserve">
10 days germination + 10 weeks growth in chambers + 6 days treatment (pages 1022-1023)</t>
        </r>
      </text>
    </comment>
    <comment ref="AG269" authorId="0" shapeId="0" xr:uid="{5FC06F69-F55A-4A3F-9C4F-923871563323}">
      <text>
        <r>
          <rPr>
            <b/>
            <sz val="9"/>
            <color indexed="81"/>
            <rFont val="Tahoma"/>
            <family val="2"/>
          </rPr>
          <t>Juan Baca:</t>
        </r>
        <r>
          <rPr>
            <sz val="9"/>
            <color indexed="81"/>
            <rFont val="Tahoma"/>
            <family val="2"/>
          </rPr>
          <t xml:space="preserve">
data from table 1</t>
        </r>
      </text>
    </comment>
    <comment ref="J273" authorId="0" shapeId="0" xr:uid="{2826EA97-15FC-40F2-B908-75AB7ADA0DCE}">
      <text>
        <r>
          <rPr>
            <b/>
            <sz val="9"/>
            <color indexed="81"/>
            <rFont val="Tahoma"/>
            <family val="2"/>
          </rPr>
          <t>Juan Baca:</t>
        </r>
        <r>
          <rPr>
            <sz val="9"/>
            <color indexed="81"/>
            <rFont val="Tahoma"/>
            <family val="2"/>
          </rPr>
          <t xml:space="preserve">
Root hydraulics parameters (conductance, conductivity and contribution of AQPs) were measured by
determining pressure-induced sap rates in six-week-old sunflower seedlings (page 2)</t>
        </r>
      </text>
    </comment>
    <comment ref="AD273" authorId="0" shapeId="0" xr:uid="{7FEBC863-B093-4454-BF99-4B13CF46FCCB}">
      <text>
        <r>
          <rPr>
            <b/>
            <sz val="9"/>
            <color indexed="81"/>
            <rFont val="Tahoma"/>
            <family val="2"/>
          </rPr>
          <t>Juan Baca:</t>
        </r>
        <r>
          <rPr>
            <sz val="9"/>
            <color indexed="81"/>
            <rFont val="Tahoma"/>
            <family val="2"/>
          </rPr>
          <t xml:space="preserve">
morphological data from Table 1</t>
        </r>
      </text>
    </comment>
    <comment ref="J281" authorId="0" shapeId="0" xr:uid="{7B2D2AE2-034C-4BF8-B44D-3687FD0EFA62}">
      <text>
        <r>
          <rPr>
            <b/>
            <sz val="9"/>
            <color indexed="81"/>
            <rFont val="Tahoma"/>
            <family val="2"/>
          </rPr>
          <t>Juan Baca:</t>
        </r>
        <r>
          <rPr>
            <sz val="9"/>
            <color indexed="81"/>
            <rFont val="Tahoma"/>
            <family val="2"/>
          </rPr>
          <t xml:space="preserve">
2-year pear trees (page 81)</t>
        </r>
      </text>
    </comment>
    <comment ref="L281" authorId="0" shapeId="0" xr:uid="{5178FF3B-F257-41FD-8971-83D661EF140A}">
      <text>
        <r>
          <rPr>
            <b/>
            <sz val="9"/>
            <color indexed="81"/>
            <rFont val="Tahoma"/>
            <family val="2"/>
          </rPr>
          <t>Juan Baca:</t>
        </r>
        <r>
          <rPr>
            <sz val="9"/>
            <color indexed="81"/>
            <rFont val="Tahoma"/>
            <family val="2"/>
          </rPr>
          <t xml:space="preserve">
"Control" refers to the common irrigation system and the W levels (W1, W2, W3) indicate different amounts of water used</t>
        </r>
      </text>
    </comment>
    <comment ref="AC281" authorId="0" shapeId="0" xr:uid="{7A92C432-4402-4839-8F63-5224BFD94389}">
      <text>
        <r>
          <rPr>
            <b/>
            <sz val="9"/>
            <color indexed="81"/>
            <rFont val="Tahoma"/>
            <family val="2"/>
          </rPr>
          <t>Juan Baca:</t>
        </r>
        <r>
          <rPr>
            <sz val="9"/>
            <color indexed="81"/>
            <rFont val="Tahoma"/>
            <family val="2"/>
          </rPr>
          <t xml:space="preserve">
data from table 3</t>
        </r>
      </text>
    </comment>
    <comment ref="J290" authorId="0" shapeId="0" xr:uid="{04072BF5-7772-4BE8-9DF7-99F8A9CA6C28}">
      <text>
        <r>
          <rPr>
            <b/>
            <sz val="9"/>
            <color indexed="81"/>
            <rFont val="Tahoma"/>
            <family val="2"/>
          </rPr>
          <t>Juan Baca:</t>
        </r>
        <r>
          <rPr>
            <sz val="9"/>
            <color indexed="81"/>
            <rFont val="Tahoma"/>
            <family val="2"/>
          </rPr>
          <t xml:space="preserve">
 plants were analysed when they were 9–13, 14–18, 19–23 and 24–28 d old</t>
        </r>
      </text>
    </comment>
    <comment ref="J294" authorId="0" shapeId="0" xr:uid="{FF53AF40-D853-4A1A-8ACD-D32A90AEEB10}">
      <text>
        <r>
          <rPr>
            <b/>
            <sz val="9"/>
            <color indexed="81"/>
            <rFont val="Tahoma"/>
            <family val="2"/>
          </rPr>
          <t>Juan Baca:</t>
        </r>
        <r>
          <rPr>
            <sz val="9"/>
            <color indexed="81"/>
            <rFont val="Tahoma"/>
            <family val="2"/>
          </rPr>
          <t xml:space="preserve">
1 + 1 +1 weeks for growth and treatments</t>
        </r>
      </text>
    </comment>
    <comment ref="K294" authorId="0" shapeId="0" xr:uid="{F62861D3-ABF4-455D-83EC-3D4BA4793F97}">
      <text>
        <r>
          <rPr>
            <b/>
            <sz val="9"/>
            <color indexed="81"/>
            <rFont val="Tahoma"/>
            <family val="2"/>
          </rPr>
          <t>Juan Baca:</t>
        </r>
        <r>
          <rPr>
            <sz val="9"/>
            <color indexed="81"/>
            <rFont val="Tahoma"/>
            <family val="2"/>
          </rPr>
          <t xml:space="preserve">
drought simulated by adding 10% PEG</t>
        </r>
      </text>
    </comment>
    <comment ref="AF294" authorId="0" shapeId="0" xr:uid="{554AA176-0E5F-4414-A176-3E1D39E9A6B4}">
      <text>
        <r>
          <rPr>
            <b/>
            <sz val="9"/>
            <color indexed="81"/>
            <rFont val="Tahoma"/>
            <family val="2"/>
          </rPr>
          <t>Juan Baca:</t>
        </r>
        <r>
          <rPr>
            <sz val="9"/>
            <color indexed="81"/>
            <rFont val="Tahoma"/>
            <family val="2"/>
          </rPr>
          <t xml:space="preserve">
data from table 1</t>
        </r>
      </text>
    </comment>
    <comment ref="J302" authorId="0" shapeId="0" xr:uid="{908751B6-A358-4D5C-A4D9-7647E48659BA}">
      <text>
        <r>
          <rPr>
            <b/>
            <sz val="9"/>
            <color indexed="81"/>
            <rFont val="Tahoma"/>
            <family val="2"/>
          </rPr>
          <t>Juan Baca:</t>
        </r>
        <r>
          <rPr>
            <sz val="9"/>
            <color indexed="81"/>
            <rFont val="Tahoma"/>
            <family val="2"/>
          </rPr>
          <t xml:space="preserve">
no clear information about age</t>
        </r>
      </text>
    </comment>
    <comment ref="L302" authorId="0" shapeId="0" xr:uid="{2D7941F6-D09B-43BE-86D8-52455F66BA1C}">
      <text>
        <r>
          <rPr>
            <b/>
            <sz val="9"/>
            <color indexed="81"/>
            <rFont val="Tahoma"/>
            <family val="2"/>
          </rPr>
          <t>Juan Baca:</t>
        </r>
        <r>
          <rPr>
            <sz val="9"/>
            <color indexed="81"/>
            <rFont val="Tahoma"/>
            <family val="2"/>
          </rPr>
          <t xml:space="preserve">
in this study mutants with AQP overexpression were used -&gt; descending order means higher AQP expression</t>
        </r>
      </text>
    </comment>
    <comment ref="J309" authorId="0" shapeId="0" xr:uid="{6E4ED4D5-C76B-4099-AE33-AC7932B37410}">
      <text>
        <r>
          <rPr>
            <b/>
            <sz val="9"/>
            <color indexed="81"/>
            <rFont val="Tahoma"/>
            <family val="2"/>
          </rPr>
          <t>Juan Baca:</t>
        </r>
        <r>
          <rPr>
            <sz val="9"/>
            <color indexed="81"/>
            <rFont val="Tahoma"/>
            <family val="2"/>
          </rPr>
          <t xml:space="preserve">
At 21 d after planting, Lpr was measured at three times during the day</t>
        </r>
      </text>
    </comment>
    <comment ref="J321" authorId="0" shapeId="0" xr:uid="{5E764BE0-614D-439F-8314-F98F435C868D}">
      <text>
        <r>
          <rPr>
            <b/>
            <sz val="9"/>
            <color indexed="81"/>
            <rFont val="Tahoma"/>
            <family val="2"/>
          </rPr>
          <t>Juan Baca:</t>
        </r>
        <r>
          <rPr>
            <sz val="9"/>
            <color indexed="81"/>
            <rFont val="Tahoma"/>
            <family val="2"/>
          </rPr>
          <t xml:space="preserve">
6 month old seedlings grown for one month in chamber and then 6 months under flooded conditions (page 6)</t>
        </r>
      </text>
    </comment>
    <comment ref="W321" authorId="0" shapeId="0" xr:uid="{423C5C57-4D7F-4F0A-825B-BEEC975F8A22}">
      <text>
        <r>
          <rPr>
            <b/>
            <sz val="9"/>
            <color indexed="81"/>
            <rFont val="Tahoma"/>
            <family val="2"/>
          </rPr>
          <t>Juan Baca:</t>
        </r>
        <r>
          <rPr>
            <sz val="9"/>
            <color indexed="81"/>
            <rFont val="Tahoma"/>
            <family val="2"/>
          </rPr>
          <t xml:space="preserve">
all data from table 1</t>
        </r>
      </text>
    </comment>
    <comment ref="J323" authorId="0" shapeId="0" xr:uid="{39791877-0881-430E-AAB7-43CE6C709E2E}">
      <text>
        <r>
          <rPr>
            <b/>
            <sz val="9"/>
            <color indexed="81"/>
            <rFont val="Tahoma"/>
            <family val="2"/>
          </rPr>
          <t>Juan Baca:</t>
        </r>
        <r>
          <rPr>
            <sz val="9"/>
            <color indexed="81"/>
            <rFont val="Tahoma"/>
            <family val="2"/>
          </rPr>
          <t xml:space="preserve">
plants were cultivated for 8 weeks in Experiment 1 (pages 1010)</t>
        </r>
      </text>
    </comment>
    <comment ref="J331" authorId="0" shapeId="0" xr:uid="{D3BF101B-51DE-4B42-B34A-0DCD965B249D}">
      <text>
        <r>
          <rPr>
            <b/>
            <sz val="9"/>
            <color indexed="81"/>
            <rFont val="Tahoma"/>
            <family val="2"/>
          </rPr>
          <t>Juan Baca:</t>
        </r>
        <r>
          <rPr>
            <sz val="9"/>
            <color indexed="81"/>
            <rFont val="Tahoma"/>
            <family val="2"/>
          </rPr>
          <t xml:space="preserve">
tow-year apple trees (page 120)</t>
        </r>
      </text>
    </comment>
    <comment ref="L331" authorId="0" shapeId="0" xr:uid="{19F22184-8FED-41D7-9C3E-C074562F98B4}">
      <text>
        <r>
          <rPr>
            <b/>
            <sz val="9"/>
            <color indexed="81"/>
            <rFont val="Tahoma"/>
            <family val="2"/>
          </rPr>
          <t>Juan Baca:</t>
        </r>
        <r>
          <rPr>
            <sz val="9"/>
            <color indexed="81"/>
            <rFont val="Tahoma"/>
            <family val="2"/>
          </rPr>
          <t xml:space="preserve">
"Control" refers to the common irrigation system. N and P values indciate the fertilization levels; in CK no P or N was used</t>
        </r>
      </text>
    </comment>
    <comment ref="W331" authorId="0" shapeId="0" xr:uid="{EF60984F-588D-490B-A782-25EA5C0A2653}">
      <text>
        <r>
          <rPr>
            <b/>
            <sz val="9"/>
            <color indexed="81"/>
            <rFont val="Tahoma"/>
            <family val="2"/>
          </rPr>
          <t>Juan Baca:</t>
        </r>
        <r>
          <rPr>
            <sz val="9"/>
            <color indexed="81"/>
            <rFont val="Tahoma"/>
            <family val="2"/>
          </rPr>
          <t xml:space="preserve">
extracted from table 1</t>
        </r>
      </text>
    </comment>
    <comment ref="J346" authorId="0" shapeId="0" xr:uid="{49F8296C-2C39-4938-B89C-25C7D0A94C5A}">
      <text>
        <r>
          <rPr>
            <b/>
            <sz val="9"/>
            <color indexed="81"/>
            <rFont val="Tahoma"/>
            <charset val="1"/>
          </rPr>
          <t>Juan Baca:</t>
        </r>
        <r>
          <rPr>
            <sz val="9"/>
            <color indexed="81"/>
            <rFont val="Tahoma"/>
            <charset val="1"/>
          </rPr>
          <t xml:space="preserve">
To minimize these differences, studies were performed on 17- to 27-d-old plants; that is, at an early stage of their growth phase (page 1265)</t>
        </r>
      </text>
    </comment>
    <comment ref="W346" authorId="0" shapeId="0" xr:uid="{A00EA9DE-2D18-45CD-B6E7-5CFCDA2630F4}">
      <text>
        <r>
          <rPr>
            <b/>
            <sz val="9"/>
            <color indexed="81"/>
            <rFont val="Tahoma"/>
            <family val="2"/>
          </rPr>
          <t>Juan Baca:</t>
        </r>
        <r>
          <rPr>
            <sz val="9"/>
            <color indexed="81"/>
            <rFont val="Tahoma"/>
            <family val="2"/>
          </rPr>
          <t xml:space="preserve">
data from table 2</t>
        </r>
      </text>
    </comment>
    <comment ref="AD346" authorId="0" shapeId="0" xr:uid="{F820CB3D-87D6-4F30-9F29-58BE351C7163}">
      <text>
        <r>
          <rPr>
            <b/>
            <sz val="9"/>
            <color indexed="81"/>
            <rFont val="Tahoma"/>
            <family val="2"/>
          </rPr>
          <t>Juan Baca:</t>
        </r>
        <r>
          <rPr>
            <sz val="9"/>
            <color indexed="81"/>
            <rFont val="Tahoma"/>
            <family val="2"/>
          </rPr>
          <t xml:space="preserve">
morphological data from table 1</t>
        </r>
      </text>
    </comment>
    <comment ref="K359" authorId="0" shapeId="0" xr:uid="{31ECA2E2-440F-4B5A-889F-F993E5E587C1}">
      <text>
        <r>
          <rPr>
            <b/>
            <sz val="9"/>
            <color indexed="81"/>
            <rFont val="Tahoma"/>
            <family val="2"/>
          </rPr>
          <t>Juan Baca:</t>
        </r>
        <r>
          <rPr>
            <sz val="9"/>
            <color indexed="81"/>
            <rFont val="Tahoma"/>
            <family val="2"/>
          </rPr>
          <t xml:space="preserve">
inhibition caused by mercury application</t>
        </r>
      </text>
    </comment>
    <comment ref="J372" authorId="0" shapeId="0" xr:uid="{8EED62B1-D49C-4E19-A089-967A4674C961}">
      <text>
        <r>
          <rPr>
            <b/>
            <sz val="9"/>
            <color indexed="81"/>
            <rFont val="Tahoma"/>
            <family val="2"/>
          </rPr>
          <t>Juan Baca:</t>
        </r>
        <r>
          <rPr>
            <sz val="9"/>
            <color indexed="81"/>
            <rFont val="Tahoma"/>
            <family val="2"/>
          </rPr>
          <t xml:space="preserve">
We removed the shoots of 15-day-old plants with a razor blade at the root base</t>
        </r>
      </text>
    </comment>
    <comment ref="AB372" authorId="0" shapeId="0" xr:uid="{37143606-BA53-4447-B8EC-7CB0681A2AD6}">
      <text>
        <r>
          <rPr>
            <b/>
            <sz val="9"/>
            <color indexed="81"/>
            <rFont val="Tahoma"/>
            <family val="2"/>
          </rPr>
          <t>Juan Baca:</t>
        </r>
        <r>
          <rPr>
            <sz val="9"/>
            <color indexed="81"/>
            <rFont val="Tahoma"/>
            <family val="2"/>
          </rPr>
          <t xml:space="preserve">
Data from text (page1153)</t>
        </r>
      </text>
    </comment>
    <comment ref="J377" authorId="0" shapeId="0" xr:uid="{701D46EA-AFB1-47FB-9D87-E72483728A31}">
      <text>
        <r>
          <rPr>
            <b/>
            <sz val="9"/>
            <color indexed="81"/>
            <rFont val="Tahoma"/>
            <family val="2"/>
          </rPr>
          <t>Juan Baca:</t>
        </r>
        <r>
          <rPr>
            <sz val="9"/>
            <color indexed="81"/>
            <rFont val="Tahoma"/>
            <family val="2"/>
          </rPr>
          <t xml:space="preserve">
"The whole root system of the Arabidopsis plants grown for 4 weeks was excised close to its base and tightly fixed to a root
pressure probe using cylindrical silicon seals" (page 1963)</t>
        </r>
      </text>
    </comment>
    <comment ref="AB377" authorId="0" shapeId="0" xr:uid="{CD9A1FFB-4A5D-4B8E-B5D3-F8464A215B32}">
      <text>
        <r>
          <rPr>
            <b/>
            <sz val="9"/>
            <color indexed="81"/>
            <rFont val="Tahoma"/>
            <family val="2"/>
          </rPr>
          <t>Juan Baca:</t>
        </r>
        <r>
          <rPr>
            <sz val="9"/>
            <color indexed="81"/>
            <rFont val="Tahoma"/>
            <family val="2"/>
          </rPr>
          <t xml:space="preserve">
Data from Table 3</t>
        </r>
      </text>
    </comment>
    <comment ref="AD377" authorId="0" shapeId="0" xr:uid="{3B97B2E7-DDEC-4768-88CA-2E6D79BB7EC7}">
      <text>
        <r>
          <rPr>
            <b/>
            <sz val="9"/>
            <color indexed="81"/>
            <rFont val="Tahoma"/>
            <family val="2"/>
          </rPr>
          <t>Juan Baca:</t>
        </r>
        <r>
          <rPr>
            <sz val="9"/>
            <color indexed="81"/>
            <rFont val="Tahoma"/>
            <family val="2"/>
          </rPr>
          <t xml:space="preserve">
morphological data from Table 1
</t>
        </r>
      </text>
    </comment>
    <comment ref="J387" authorId="0" shapeId="0" xr:uid="{A57E371E-83DA-49DF-BD33-1521691812DB}">
      <text>
        <r>
          <rPr>
            <b/>
            <sz val="9"/>
            <color indexed="81"/>
            <rFont val="Tahoma"/>
            <family val="2"/>
          </rPr>
          <t>Juan Baca:</t>
        </r>
        <r>
          <rPr>
            <sz val="9"/>
            <color indexed="81"/>
            <rFont val="Tahoma"/>
            <family val="2"/>
          </rPr>
          <t xml:space="preserve">
 When plants were 7-days-old and bearing one
true leaf that was half-expanded (page 88)</t>
        </r>
      </text>
    </comment>
    <comment ref="L387" authorId="0" shapeId="0" xr:uid="{C430945E-D0B5-40A5-8262-205BED40ECC7}">
      <text>
        <r>
          <rPr>
            <b/>
            <sz val="9"/>
            <color indexed="81"/>
            <rFont val="Tahoma"/>
            <family val="2"/>
          </rPr>
          <t>Juan Baca:</t>
        </r>
        <r>
          <rPr>
            <sz val="9"/>
            <color indexed="81"/>
            <rFont val="Tahoma"/>
            <family val="2"/>
          </rPr>
          <t xml:space="preserve">
only "control" data is presented, because experiment seems to be pretty extreme (gs increase more than 200% due to an increazse in 3 degree C, only)</t>
        </r>
      </text>
    </comment>
    <comment ref="X387" authorId="0" shapeId="0" xr:uid="{86F1FCB9-09DA-4EA6-9A11-0A6BC5F93B9E}">
      <text>
        <r>
          <rPr>
            <b/>
            <sz val="9"/>
            <color indexed="81"/>
            <rFont val="Tahoma"/>
            <family val="2"/>
          </rPr>
          <t>Juan Baca:</t>
        </r>
        <r>
          <rPr>
            <sz val="9"/>
            <color indexed="81"/>
            <rFont val="Tahoma"/>
            <family val="2"/>
          </rPr>
          <t xml:space="preserve">
data from Table 1; not specified if data is on a fresh or dry wieght basis. -&gt; Assumed that it is on fresh weight basis</t>
        </r>
      </text>
    </comment>
    <comment ref="X389" authorId="0" shapeId="0" xr:uid="{E6535052-D2AF-4197-836F-5C2E5F1CCECE}">
      <text>
        <r>
          <rPr>
            <b/>
            <sz val="9"/>
            <color indexed="81"/>
            <rFont val="Tahoma"/>
            <family val="2"/>
          </rPr>
          <t>Juan Baca:</t>
        </r>
        <r>
          <rPr>
            <sz val="9"/>
            <color indexed="81"/>
            <rFont val="Tahoma"/>
            <family val="2"/>
          </rPr>
          <t xml:space="preserve">
data from text (page 90)</t>
        </r>
      </text>
    </comment>
    <comment ref="J391" authorId="0" shapeId="0" xr:uid="{DE86C908-D884-486E-A46B-C1E28CFC3F81}">
      <text>
        <r>
          <rPr>
            <b/>
            <sz val="9"/>
            <color indexed="81"/>
            <rFont val="Tahoma"/>
            <family val="2"/>
          </rPr>
          <t>Juan Baca:</t>
        </r>
        <r>
          <rPr>
            <sz val="9"/>
            <color indexed="81"/>
            <rFont val="Tahoma"/>
            <family val="2"/>
          </rPr>
          <t xml:space="preserve">
Plants were analysed when they were 14–17 d old. (page 4116)</t>
        </r>
      </text>
    </comment>
    <comment ref="L391" authorId="0" shapeId="0" xr:uid="{C0CDEF51-1004-419F-93C1-B83D0FBA7087}">
      <text>
        <r>
          <rPr>
            <b/>
            <sz val="9"/>
            <color indexed="81"/>
            <rFont val="Tahoma"/>
            <family val="2"/>
          </rPr>
          <t>Juan Baca:</t>
        </r>
        <r>
          <rPr>
            <sz val="9"/>
            <color indexed="81"/>
            <rFont val="Tahoma"/>
            <family val="2"/>
          </rPr>
          <t xml:space="preserve">
AQP inhibition achieved by applying HgCL2; recovery by using DTT</t>
        </r>
      </text>
    </comment>
    <comment ref="AB391" authorId="0" shapeId="0" xr:uid="{3148D0F7-F125-48B2-85FF-2F53E0A7D716}">
      <text>
        <r>
          <rPr>
            <b/>
            <sz val="9"/>
            <color indexed="81"/>
            <rFont val="Tahoma"/>
            <family val="2"/>
          </rPr>
          <t>Juan Baca:</t>
        </r>
        <r>
          <rPr>
            <sz val="9"/>
            <color indexed="81"/>
            <rFont val="Tahoma"/>
            <family val="2"/>
          </rPr>
          <t xml:space="preserve">
data from table 1</t>
        </r>
      </text>
    </comment>
    <comment ref="J393" authorId="0" shapeId="0" xr:uid="{66A082FC-DF7F-4E5E-AD9C-F45D034E0DD3}">
      <text>
        <r>
          <rPr>
            <b/>
            <sz val="9"/>
            <color indexed="81"/>
            <rFont val="Tahoma"/>
            <family val="2"/>
          </rPr>
          <t>Juan Baca:</t>
        </r>
        <r>
          <rPr>
            <sz val="9"/>
            <color indexed="81"/>
            <rFont val="Tahoma"/>
            <family val="2"/>
          </rPr>
          <t xml:space="preserve">
plants analyzed when they were 14-17 days old (page 719)</t>
        </r>
      </text>
    </comment>
    <comment ref="W393" authorId="0" shapeId="0" xr:uid="{29C3F10C-4E83-4D42-BA04-BD2BDC230C22}">
      <text>
        <r>
          <rPr>
            <b/>
            <sz val="9"/>
            <color indexed="81"/>
            <rFont val="Tahoma"/>
            <family val="2"/>
          </rPr>
          <t>Juan Baca:</t>
        </r>
        <r>
          <rPr>
            <sz val="9"/>
            <color indexed="81"/>
            <rFont val="Tahoma"/>
            <family val="2"/>
          </rPr>
          <t xml:space="preserve">
Data from text (page 725)</t>
        </r>
      </text>
    </comment>
    <comment ref="J394" authorId="0" shapeId="0" xr:uid="{9218AE4B-E5BD-4CBC-8AA2-72312B6E7F9F}">
      <text>
        <r>
          <rPr>
            <b/>
            <sz val="9"/>
            <color indexed="81"/>
            <rFont val="Tahoma"/>
            <family val="2"/>
          </rPr>
          <t>Juan Baca:</t>
        </r>
        <r>
          <rPr>
            <sz val="9"/>
            <color indexed="81"/>
            <rFont val="Tahoma"/>
            <family val="2"/>
          </rPr>
          <t xml:space="preserve">
Irrigation treatment started 22 d after seedling emergence and the period of irrigation treatment lasted for 40 d (measurements between days 5-35) + x days after treatment</t>
        </r>
      </text>
    </comment>
    <comment ref="J406" authorId="0" shapeId="0" xr:uid="{26CAA677-5F2F-44B7-83AA-FA08DDC270B5}">
      <text>
        <r>
          <rPr>
            <b/>
            <sz val="9"/>
            <color indexed="81"/>
            <rFont val="Tahoma"/>
            <family val="2"/>
          </rPr>
          <t>Juan Baca:</t>
        </r>
        <r>
          <rPr>
            <sz val="9"/>
            <color indexed="81"/>
            <rFont val="Tahoma"/>
            <family val="2"/>
          </rPr>
          <t xml:space="preserve">
4 day old plants transferred from pots for measurements (page 672)</t>
        </r>
      </text>
    </comment>
    <comment ref="L406" authorId="0" shapeId="0" xr:uid="{2A55571B-CFD3-4AB1-825E-726FC7BBF1A5}">
      <text>
        <r>
          <rPr>
            <b/>
            <sz val="9"/>
            <color indexed="81"/>
            <rFont val="Tahoma"/>
            <family val="2"/>
          </rPr>
          <t>Juan Baca:</t>
        </r>
        <r>
          <rPr>
            <sz val="9"/>
            <color indexed="81"/>
            <rFont val="Tahoma"/>
            <family val="2"/>
          </rPr>
          <t xml:space="preserve">
either salt or sorbitol were used to caused the osmotic reduction associated with salt stress. In the case of salt, 100 or 200mM were used</t>
        </r>
      </text>
    </comment>
    <comment ref="J411" authorId="0" shapeId="0" xr:uid="{2999ADFE-208F-4295-9EEA-978E8B378102}">
      <text>
        <r>
          <rPr>
            <b/>
            <sz val="9"/>
            <color indexed="81"/>
            <rFont val="Tahoma"/>
            <family val="2"/>
          </rPr>
          <t>Juan Baca:</t>
        </r>
        <r>
          <rPr>
            <sz val="9"/>
            <color indexed="81"/>
            <rFont val="Tahoma"/>
            <family val="2"/>
          </rPr>
          <t xml:space="preserve">
Salinity treatments were applied when plants were 8 days old (page 2) + Lpr measurements performed after 3 days of treatment (table 1)</t>
        </r>
      </text>
    </comment>
    <comment ref="X411" authorId="0" shapeId="0" xr:uid="{A468D9D3-75E8-415B-B6F2-8F08E36D3437}">
      <text>
        <r>
          <rPr>
            <b/>
            <sz val="9"/>
            <color indexed="81"/>
            <rFont val="Tahoma"/>
            <family val="2"/>
          </rPr>
          <t>Juan Baca:</t>
        </r>
        <r>
          <rPr>
            <sz val="9"/>
            <color indexed="81"/>
            <rFont val="Tahoma"/>
            <family val="2"/>
          </rPr>
          <t xml:space="preserve">
Data from table 1</t>
        </r>
      </text>
    </comment>
    <comment ref="AG411" authorId="0" shapeId="0" xr:uid="{8D5FA76E-983E-447F-B7EA-744B93EE1662}">
      <text>
        <r>
          <rPr>
            <b/>
            <sz val="9"/>
            <color indexed="81"/>
            <rFont val="Tahoma"/>
            <family val="2"/>
          </rPr>
          <t>Juan Baca:</t>
        </r>
        <r>
          <rPr>
            <sz val="9"/>
            <color indexed="81"/>
            <rFont val="Tahoma"/>
            <family val="2"/>
          </rPr>
          <t xml:space="preserve">
data from table 2</t>
        </r>
      </text>
    </comment>
    <comment ref="J415" authorId="0" shapeId="0" xr:uid="{B817FD43-FFB5-4B0C-8A0F-F6E4DA5081A3}">
      <text>
        <r>
          <rPr>
            <b/>
            <sz val="9"/>
            <color indexed="81"/>
            <rFont val="Tahoma"/>
            <family val="2"/>
          </rPr>
          <t>Juan Baca:</t>
        </r>
        <r>
          <rPr>
            <sz val="9"/>
            <color indexed="81"/>
            <rFont val="Tahoma"/>
            <family val="2"/>
          </rPr>
          <t xml:space="preserve">
Plant material used in the experiments included 9-
month-old seedlings of CM, PT, and their hybrids
FA-5 and FA-13. In addition, 15-month-old Valencia orange  trees budded on these
four rootstocks were also used.  (page 160)</t>
        </r>
      </text>
    </comment>
    <comment ref="Y415" authorId="0" shapeId="0" xr:uid="{0C24CB14-95D7-4753-8FFE-42BC5C0AA426}">
      <text>
        <r>
          <rPr>
            <b/>
            <sz val="9"/>
            <color indexed="81"/>
            <rFont val="Tahoma"/>
            <family val="2"/>
          </rPr>
          <t>Juan Baca:</t>
        </r>
        <r>
          <rPr>
            <sz val="9"/>
            <color indexed="81"/>
            <rFont val="Tahoma"/>
            <family val="2"/>
          </rPr>
          <t xml:space="preserve">
all data from table 1</t>
        </r>
      </text>
    </comment>
    <comment ref="J417" authorId="0" shapeId="0" xr:uid="{1B466CBA-5140-4666-8295-6B8AC1305213}">
      <text>
        <r>
          <rPr>
            <b/>
            <sz val="9"/>
            <color indexed="81"/>
            <rFont val="Tahoma"/>
            <family val="2"/>
          </rPr>
          <t>Juan Baca:</t>
        </r>
        <r>
          <rPr>
            <sz val="9"/>
            <color indexed="81"/>
            <rFont val="Tahoma"/>
            <family val="2"/>
          </rPr>
          <t xml:space="preserve">
Plants were 3 months old, with only vegetative growth that was restricted to two main shoots (page 454)</t>
        </r>
      </text>
    </comment>
    <comment ref="J425" authorId="0" shapeId="0" xr:uid="{46819709-E9CC-4235-A2D9-25D52AE3A07A}">
      <text>
        <r>
          <rPr>
            <b/>
            <sz val="9"/>
            <color indexed="81"/>
            <rFont val="Tahoma"/>
            <family val="2"/>
          </rPr>
          <t>Juan Baca:</t>
        </r>
        <r>
          <rPr>
            <sz val="9"/>
            <color indexed="81"/>
            <rFont val="Tahoma"/>
            <family val="2"/>
          </rPr>
          <t xml:space="preserve">
At harvest (53 or 56 days after planting), the shoot and root system were separated (page 567)</t>
        </r>
      </text>
    </comment>
    <comment ref="AF425" authorId="0" shapeId="0" xr:uid="{DB956198-6854-4829-90A2-9D61DE3A6D62}">
      <text>
        <r>
          <rPr>
            <b/>
            <sz val="9"/>
            <color indexed="81"/>
            <rFont val="Tahoma"/>
            <family val="2"/>
          </rPr>
          <t>Juan Baca:</t>
        </r>
        <r>
          <rPr>
            <sz val="9"/>
            <color indexed="81"/>
            <rFont val="Tahoma"/>
            <family val="2"/>
          </rPr>
          <t xml:space="preserve">
data from table 1</t>
        </r>
      </text>
    </comment>
    <comment ref="J433" authorId="0" shapeId="0" xr:uid="{51E75A71-2077-45A2-8865-4E83FFA5D18A}">
      <text>
        <r>
          <rPr>
            <b/>
            <sz val="9"/>
            <color indexed="81"/>
            <rFont val="Tahoma"/>
            <family val="2"/>
          </rPr>
          <t>Juan Baca:</t>
        </r>
        <r>
          <rPr>
            <sz val="9"/>
            <color indexed="81"/>
            <rFont val="Tahoma"/>
            <family val="2"/>
          </rPr>
          <t xml:space="preserve">
All measurements were carried out in plants at the six- or seven-leaf
stage (page 2009)</t>
        </r>
      </text>
    </comment>
    <comment ref="K433" authorId="0" shapeId="0" xr:uid="{2C34D0BE-E7FC-41E2-A4E2-C8DCAA22379A}">
      <text>
        <r>
          <rPr>
            <b/>
            <sz val="9"/>
            <color indexed="81"/>
            <rFont val="Tahoma"/>
            <family val="2"/>
          </rPr>
          <t>Juan Baca:</t>
        </r>
        <r>
          <rPr>
            <sz val="9"/>
            <color indexed="81"/>
            <rFont val="Tahoma"/>
            <family val="2"/>
          </rPr>
          <t xml:space="preserve">
AQP inhibition achieved by application of H2O2</t>
        </r>
      </text>
    </comment>
    <comment ref="AD433" authorId="0" shapeId="0" xr:uid="{04981FB8-87AA-4028-ACB9-4DEE9171A89C}">
      <text>
        <r>
          <rPr>
            <b/>
            <sz val="9"/>
            <color indexed="81"/>
            <rFont val="Tahoma"/>
            <family val="2"/>
          </rPr>
          <t>Juan Baca:</t>
        </r>
        <r>
          <rPr>
            <sz val="9"/>
            <color indexed="81"/>
            <rFont val="Tahoma"/>
            <family val="2"/>
          </rPr>
          <t xml:space="preserve">
data from table 1</t>
        </r>
      </text>
    </comment>
    <comment ref="J445" authorId="0" shapeId="0" xr:uid="{36605D74-8827-4156-90C6-DB5984FB3863}">
      <text>
        <r>
          <rPr>
            <b/>
            <sz val="9"/>
            <color indexed="81"/>
            <rFont val="Tahoma"/>
            <family val="2"/>
          </rPr>
          <t>Juan Baca:</t>
        </r>
        <r>
          <rPr>
            <sz val="9"/>
            <color indexed="81"/>
            <rFont val="Tahoma"/>
            <family val="2"/>
          </rPr>
          <t xml:space="preserve">
root hydraulic conductivity,
glycine betaine and anion and cation contents were measured after 30 d of the treatments, when plants were 50 d (page 749)</t>
        </r>
      </text>
    </comment>
    <comment ref="X445" authorId="0" shapeId="0" xr:uid="{ADC5EB18-6743-4C8B-9305-77CA3B9272AC}">
      <text>
        <r>
          <rPr>
            <b/>
            <sz val="9"/>
            <color indexed="81"/>
            <rFont val="Tahoma"/>
            <family val="2"/>
          </rPr>
          <t>Juan Baca:</t>
        </r>
        <r>
          <rPr>
            <sz val="9"/>
            <color indexed="81"/>
            <rFont val="Tahoma"/>
            <family val="2"/>
          </rPr>
          <t xml:space="preserve">
data from Table 2</t>
        </r>
      </text>
    </comment>
    <comment ref="AF445" authorId="0" shapeId="0" xr:uid="{231BF5BA-EC05-4A64-90B7-6ADEFB6A019D}">
      <text>
        <r>
          <rPr>
            <b/>
            <sz val="9"/>
            <color indexed="81"/>
            <rFont val="Tahoma"/>
            <family val="2"/>
          </rPr>
          <t>Juan Baca:</t>
        </r>
        <r>
          <rPr>
            <sz val="9"/>
            <color indexed="81"/>
            <rFont val="Tahoma"/>
            <family val="2"/>
          </rPr>
          <t xml:space="preserve">
morpho data from Table 1</t>
        </r>
      </text>
    </comment>
    <comment ref="J449" authorId="0" shapeId="0" xr:uid="{DB231418-71D6-4F0E-91ED-423F3AC92AD5}">
      <text>
        <r>
          <rPr>
            <b/>
            <sz val="9"/>
            <color indexed="81"/>
            <rFont val="Tahoma"/>
            <family val="2"/>
          </rPr>
          <t>Juan Baca:</t>
        </r>
        <r>
          <rPr>
            <sz val="9"/>
            <color indexed="81"/>
            <rFont val="Tahoma"/>
            <family val="2"/>
          </rPr>
          <t xml:space="preserve">
Root L0 measurements were carried out as described by Miyamoto et al. (2001), with some modifications, from 74 to 75 DAS for hydroponic culture and from 89 to 91 DAS for soil culture (page27)</t>
        </r>
      </text>
    </comment>
    <comment ref="X449" authorId="0" shapeId="0" xr:uid="{CAF760DF-574A-4C7A-B9BB-3A83C8B38579}">
      <text>
        <r>
          <rPr>
            <b/>
            <sz val="9"/>
            <color indexed="81"/>
            <rFont val="Tahoma"/>
            <family val="2"/>
          </rPr>
          <t>Juan Baca:</t>
        </r>
        <r>
          <rPr>
            <sz val="9"/>
            <color indexed="81"/>
            <rFont val="Tahoma"/>
            <family val="2"/>
          </rPr>
          <t xml:space="preserve">
data from Table 3</t>
        </r>
      </text>
    </comment>
    <comment ref="AF449" authorId="0" shapeId="0" xr:uid="{97118EC8-5F00-498F-AA0A-6312EEEFFD18}">
      <text>
        <r>
          <rPr>
            <b/>
            <sz val="9"/>
            <color indexed="81"/>
            <rFont val="Tahoma"/>
            <family val="2"/>
          </rPr>
          <t>Juan Baca:</t>
        </r>
        <r>
          <rPr>
            <sz val="9"/>
            <color indexed="81"/>
            <rFont val="Tahoma"/>
            <family val="2"/>
          </rPr>
          <t xml:space="preserve">
morpho data from Table 1</t>
        </r>
      </text>
    </comment>
    <comment ref="J458" authorId="0" shapeId="0" xr:uid="{24A5665E-DC73-4DF9-95BF-EFCDFBA201DC}">
      <text>
        <r>
          <rPr>
            <b/>
            <sz val="9"/>
            <color indexed="81"/>
            <rFont val="Tahoma"/>
            <family val="2"/>
          </rPr>
          <t>Juan Baca:</t>
        </r>
        <r>
          <rPr>
            <sz val="9"/>
            <color indexed="81"/>
            <rFont val="Tahoma"/>
            <family val="2"/>
          </rPr>
          <t xml:space="preserve">
grown in culture solution for 3 weeks + 2 days of P deficiency treatment</t>
        </r>
      </text>
    </comment>
    <comment ref="AB458" authorId="0" shapeId="0" xr:uid="{3FA027EF-FC53-4BC2-A2EF-A445D34003D7}">
      <text>
        <r>
          <rPr>
            <b/>
            <sz val="9"/>
            <color indexed="81"/>
            <rFont val="Tahoma"/>
            <family val="2"/>
          </rPr>
          <t>Juan Baca:</t>
        </r>
        <r>
          <rPr>
            <sz val="9"/>
            <color indexed="81"/>
            <rFont val="Tahoma"/>
            <family val="2"/>
          </rPr>
          <t xml:space="preserve">
all data from text (page 174)</t>
        </r>
      </text>
    </comment>
    <comment ref="J460" authorId="0" shapeId="0" xr:uid="{249804F0-DC28-4C92-B509-3658E7745DB7}">
      <text>
        <r>
          <rPr>
            <b/>
            <sz val="9"/>
            <color indexed="81"/>
            <rFont val="Tahoma"/>
            <family val="2"/>
          </rPr>
          <t>Juan Baca:</t>
        </r>
        <r>
          <rPr>
            <sz val="9"/>
            <color indexed="81"/>
            <rFont val="Tahoma"/>
            <family val="2"/>
          </rPr>
          <t xml:space="preserve">
all experiements performed at 14 days afeter sowing (page 361)</t>
        </r>
      </text>
    </comment>
    <comment ref="AB460" authorId="0" shapeId="0" xr:uid="{509C7FD1-B6B9-4021-AFF5-AE01001C8522}">
      <text>
        <r>
          <rPr>
            <b/>
            <sz val="9"/>
            <color indexed="81"/>
            <rFont val="Tahoma"/>
            <family val="2"/>
          </rPr>
          <t>Juan Baca:</t>
        </r>
        <r>
          <rPr>
            <sz val="9"/>
            <color indexed="81"/>
            <rFont val="Tahoma"/>
            <family val="2"/>
          </rPr>
          <t xml:space="preserve">
all data from table1</t>
        </r>
      </text>
    </comment>
    <comment ref="J463" authorId="0" shapeId="0" xr:uid="{4106F6D0-EC0E-43A3-ACD2-66C1E3E98D97}">
      <text>
        <r>
          <rPr>
            <b/>
            <sz val="9"/>
            <color indexed="81"/>
            <rFont val="Tahoma"/>
            <family val="2"/>
          </rPr>
          <t>Juan Baca:</t>
        </r>
        <r>
          <rPr>
            <sz val="9"/>
            <color indexed="81"/>
            <rFont val="Tahoma"/>
            <family val="2"/>
          </rPr>
          <t xml:space="preserve">
1 week after root emergence + 2 weeks in growth rooms + 4 weeks with inoculum (page 358)</t>
        </r>
      </text>
    </comment>
    <comment ref="J475" authorId="0" shapeId="0" xr:uid="{71180B8D-E1DB-41AD-9077-368077D28DD0}">
      <text>
        <r>
          <rPr>
            <b/>
            <sz val="9"/>
            <color indexed="81"/>
            <rFont val="Tahoma"/>
            <family val="2"/>
          </rPr>
          <t>Juan Baca:</t>
        </r>
        <r>
          <rPr>
            <sz val="9"/>
            <color indexed="81"/>
            <rFont val="Tahoma"/>
            <family val="2"/>
          </rPr>
          <t xml:space="preserve">
4 week groth for cuttings + 12 weeks inoculation treatments (pages 394-395) </t>
        </r>
      </text>
    </comment>
    <comment ref="J478" authorId="0" shapeId="0" xr:uid="{D2D7B933-1277-4E2F-A39D-DEE0483827F9}">
      <text>
        <r>
          <rPr>
            <b/>
            <sz val="9"/>
            <color indexed="81"/>
            <rFont val="Tahoma"/>
            <family val="2"/>
          </rPr>
          <t>Juan Baca:</t>
        </r>
        <r>
          <rPr>
            <sz val="9"/>
            <color indexed="81"/>
            <rFont val="Tahoma"/>
            <family val="2"/>
          </rPr>
          <t xml:space="preserve">
Rice seedlings (Oryza sativa L. cv.  Akitakomachi) of 18–22 d
old were used for all experiments in the present study (page 1301)</t>
        </r>
      </text>
    </comment>
    <comment ref="AB478" authorId="0" shapeId="0" xr:uid="{15EE1624-0038-46E2-8B21-20B87DE6395F}">
      <text>
        <r>
          <rPr>
            <b/>
            <sz val="9"/>
            <color indexed="81"/>
            <rFont val="Tahoma"/>
            <family val="2"/>
          </rPr>
          <t>Juan Baca:</t>
        </r>
        <r>
          <rPr>
            <sz val="9"/>
            <color indexed="81"/>
            <rFont val="Tahoma"/>
            <family val="2"/>
          </rPr>
          <t xml:space="preserve">
data from text (page 1299)</t>
        </r>
      </text>
    </comment>
    <comment ref="J479" authorId="0" shapeId="0" xr:uid="{411D5D6F-4C9C-480B-AB85-BB8348A7FDEE}">
      <text>
        <r>
          <rPr>
            <b/>
            <sz val="9"/>
            <color indexed="81"/>
            <rFont val="Tahoma"/>
            <family val="2"/>
          </rPr>
          <t>Juan Baca:</t>
        </r>
        <r>
          <rPr>
            <sz val="9"/>
            <color indexed="81"/>
            <rFont val="Tahoma"/>
            <family val="2"/>
          </rPr>
          <t xml:space="preserve">
Water stress was imposed using PEG 6000 ( p¼
–0.35 MPa) on 5-week-old plants for 24 h. (page 809)</t>
        </r>
      </text>
    </comment>
    <comment ref="J484" authorId="0" shapeId="0" xr:uid="{80649523-2067-4686-840C-3AF26461E084}">
      <text>
        <r>
          <rPr>
            <b/>
            <sz val="9"/>
            <color indexed="81"/>
            <rFont val="Tahoma"/>
            <family val="2"/>
          </rPr>
          <t>Juan Baca:</t>
        </r>
        <r>
          <rPr>
            <sz val="9"/>
            <color indexed="81"/>
            <rFont val="Tahoma"/>
            <family val="2"/>
          </rPr>
          <t xml:space="preserve">
germination in June 2005, finish of treatments June 2006 (pages 190-191)</t>
        </r>
      </text>
    </comment>
    <comment ref="J500" authorId="0" shapeId="0" xr:uid="{B6E2A97E-BE32-4F5C-9AF9-5EE7B666321A}">
      <text>
        <r>
          <rPr>
            <b/>
            <sz val="9"/>
            <color indexed="81"/>
            <rFont val="Tahoma"/>
            <family val="2"/>
          </rPr>
          <t>Juan Baca:</t>
        </r>
        <r>
          <rPr>
            <sz val="9"/>
            <color indexed="81"/>
            <rFont val="Tahoma"/>
            <family val="2"/>
          </rPr>
          <t xml:space="preserve">
Nineteen days after transfer to the hydroponic system, plants were detopped just below cotyledons, rubber tubing was attached to the root stump (page 1915) (but probably more than 19 days of total growth, not so clear</t>
        </r>
      </text>
    </comment>
    <comment ref="K500" authorId="0" shapeId="0" xr:uid="{B5B84669-0215-4669-8BDC-321D074ABCE6}">
      <text>
        <r>
          <rPr>
            <b/>
            <sz val="9"/>
            <color indexed="81"/>
            <rFont val="Tahoma"/>
            <family val="2"/>
          </rPr>
          <t>Juan Baca:</t>
        </r>
        <r>
          <rPr>
            <sz val="9"/>
            <color indexed="81"/>
            <rFont val="Tahoma"/>
            <family val="2"/>
          </rPr>
          <t xml:space="preserve">
in this study, mutants with ABA overexpression were used</t>
        </r>
      </text>
    </comment>
    <comment ref="J506" authorId="0" shapeId="0" xr:uid="{FB9D2C92-2D21-4359-88F2-F961B8FA39D7}">
      <text>
        <r>
          <rPr>
            <b/>
            <sz val="9"/>
            <color indexed="81"/>
            <rFont val="Tahoma"/>
            <family val="2"/>
          </rPr>
          <t>Juan Baca:</t>
        </r>
        <r>
          <rPr>
            <sz val="9"/>
            <color indexed="81"/>
            <rFont val="Tahoma"/>
            <family val="2"/>
          </rPr>
          <t xml:space="preserve">
data from Fig 2</t>
        </r>
      </text>
    </comment>
    <comment ref="K506" authorId="0" shapeId="0" xr:uid="{4554E861-FA5A-4844-BB4D-1B16BF383EF7}">
      <text>
        <r>
          <rPr>
            <b/>
            <sz val="9"/>
            <color indexed="81"/>
            <rFont val="Tahoma"/>
            <family val="2"/>
          </rPr>
          <t>Juan Baca:</t>
        </r>
        <r>
          <rPr>
            <sz val="9"/>
            <color indexed="81"/>
            <rFont val="Tahoma"/>
            <family val="2"/>
          </rPr>
          <t xml:space="preserve">
AQP inhibition occurred due to the addition of mercuric chloride; the fertilization treatment was either control (fertilization) or non fertilized</t>
        </r>
      </text>
    </comment>
    <comment ref="J514" authorId="0" shapeId="0" xr:uid="{FB03AC4A-0E4D-4650-A0D5-EBC368CA484C}">
      <text>
        <r>
          <rPr>
            <b/>
            <sz val="9"/>
            <color indexed="81"/>
            <rFont val="Tahoma"/>
            <family val="2"/>
          </rPr>
          <t>Juan Baca:</t>
        </r>
        <r>
          <rPr>
            <sz val="9"/>
            <color indexed="81"/>
            <rFont val="Tahoma"/>
            <family val="2"/>
          </rPr>
          <t xml:space="preserve">
data from figure 2</t>
        </r>
      </text>
    </comment>
    <comment ref="J518" authorId="0" shapeId="0" xr:uid="{A8D59145-D176-4AC1-8F18-012C31AC9C31}">
      <text>
        <r>
          <rPr>
            <b/>
            <sz val="9"/>
            <color indexed="81"/>
            <rFont val="Tahoma"/>
            <family val="2"/>
          </rPr>
          <t>Juan Baca:</t>
        </r>
        <r>
          <rPr>
            <sz val="9"/>
            <color indexed="81"/>
            <rFont val="Tahoma"/>
            <family val="2"/>
          </rPr>
          <t xml:space="preserve">
Measurements took place 6–9 weeks (page 2410)</t>
        </r>
      </text>
    </comment>
    <comment ref="L518" authorId="0" shapeId="0" xr:uid="{B6A55BE7-FB05-42EB-844C-A8F36FA6361C}">
      <text>
        <r>
          <rPr>
            <b/>
            <sz val="9"/>
            <color indexed="81"/>
            <rFont val="Tahoma"/>
            <family val="2"/>
          </rPr>
          <t>Juan Baca:</t>
        </r>
        <r>
          <rPr>
            <sz val="9"/>
            <color indexed="81"/>
            <rFont val="Tahoma"/>
            <family val="2"/>
          </rPr>
          <t xml:space="preserve">
this is actually a lowN treatment, but the authors define it as the control</t>
        </r>
      </text>
    </comment>
    <comment ref="X518" authorId="0" shapeId="0" xr:uid="{D2320607-4B4B-40D3-92C2-293E8711528A}">
      <text>
        <r>
          <rPr>
            <b/>
            <sz val="9"/>
            <color indexed="81"/>
            <rFont val="Tahoma"/>
            <family val="2"/>
          </rPr>
          <t>Juan Baca:</t>
        </r>
        <r>
          <rPr>
            <sz val="9"/>
            <color indexed="81"/>
            <rFont val="Tahoma"/>
            <family val="2"/>
          </rPr>
          <t xml:space="preserve">
data from text (page 2412)</t>
        </r>
      </text>
    </comment>
    <comment ref="J519" authorId="0" shapeId="0" xr:uid="{9BA8FAA7-8064-44CA-87E6-ED184491277B}">
      <text>
        <r>
          <rPr>
            <b/>
            <sz val="9"/>
            <color indexed="81"/>
            <rFont val="Tahoma"/>
            <family val="2"/>
          </rPr>
          <t>Juan Baca:</t>
        </r>
        <r>
          <rPr>
            <sz val="9"/>
            <color indexed="81"/>
            <rFont val="Tahoma"/>
            <family val="2"/>
          </rPr>
          <t xml:space="preserve">
no clear information about age; 6-8 node stage (page 1293)</t>
        </r>
      </text>
    </comment>
    <comment ref="K519" authorId="0" shapeId="0" xr:uid="{0F06F882-8565-4B06-A7A4-50A474C48510}">
      <text>
        <r>
          <rPr>
            <b/>
            <sz val="9"/>
            <color indexed="81"/>
            <rFont val="Tahoma"/>
            <family val="2"/>
          </rPr>
          <t>Juan Baca:</t>
        </r>
        <r>
          <rPr>
            <sz val="9"/>
            <color indexed="81"/>
            <rFont val="Tahoma"/>
            <family val="2"/>
          </rPr>
          <t xml:space="preserve">
AQP inhibition by applying mercuric chloride</t>
        </r>
      </text>
    </comment>
    <comment ref="J527" authorId="0" shapeId="0" xr:uid="{8DFB5A61-7EB4-492D-BEC5-C076FCD6A181}">
      <text>
        <r>
          <rPr>
            <b/>
            <sz val="9"/>
            <color indexed="81"/>
            <rFont val="Tahoma"/>
            <family val="2"/>
          </rPr>
          <t>Juan Baca:</t>
        </r>
        <r>
          <rPr>
            <sz val="9"/>
            <color indexed="81"/>
            <rFont val="Tahoma"/>
            <family val="2"/>
          </rPr>
          <t xml:space="preserve">
The seedling was 15d old, and treated 10d before measurement (legend Fig1)</t>
        </r>
      </text>
    </comment>
    <comment ref="K527" authorId="0" shapeId="0" xr:uid="{4BD8CEFB-7428-47EB-B4E6-C6965558A56A}">
      <text>
        <r>
          <rPr>
            <b/>
            <sz val="9"/>
            <color indexed="81"/>
            <rFont val="Tahoma"/>
            <family val="2"/>
          </rPr>
          <t>Juan Baca:</t>
        </r>
        <r>
          <rPr>
            <sz val="9"/>
            <color indexed="81"/>
            <rFont val="Tahoma"/>
            <family val="2"/>
          </rPr>
          <t xml:space="preserve">
drought induced by applying PEG to the nutrient solution</t>
        </r>
      </text>
    </comment>
    <comment ref="J533" authorId="0" shapeId="0" xr:uid="{018F23E3-3086-422F-BBF5-DF49184C2B75}">
      <text>
        <r>
          <rPr>
            <b/>
            <sz val="9"/>
            <color indexed="81"/>
            <rFont val="Tahoma"/>
            <family val="2"/>
          </rPr>
          <t>Juan Baca:</t>
        </r>
        <r>
          <rPr>
            <sz val="9"/>
            <color indexed="81"/>
            <rFont val="Tahoma"/>
            <family val="2"/>
          </rPr>
          <t xml:space="preserve">
21-27 days of treatment initiated in 15 day old plants (page 656)</t>
        </r>
      </text>
    </comment>
    <comment ref="K533" authorId="0" shapeId="0" xr:uid="{3DC1DBB5-7B38-4232-9030-40D8103F89D7}">
      <text>
        <r>
          <rPr>
            <b/>
            <sz val="9"/>
            <color indexed="81"/>
            <rFont val="Tahoma"/>
            <family val="2"/>
          </rPr>
          <t>Juan Baca:</t>
        </r>
        <r>
          <rPr>
            <sz val="9"/>
            <color indexed="81"/>
            <rFont val="Tahoma"/>
            <family val="2"/>
          </rPr>
          <t xml:space="preserve">
in the stagnat treatment, deoxygenated nutrient solution was used</t>
        </r>
      </text>
    </comment>
    <comment ref="AB533" authorId="0" shapeId="0" xr:uid="{C88B93B4-9C3E-4382-B140-58FBB77F3DCA}">
      <text>
        <r>
          <rPr>
            <b/>
            <sz val="9"/>
            <color indexed="81"/>
            <rFont val="Tahoma"/>
            <family val="2"/>
          </rPr>
          <t>Juan Baca:</t>
        </r>
        <r>
          <rPr>
            <sz val="9"/>
            <color indexed="81"/>
            <rFont val="Tahoma"/>
            <family val="2"/>
          </rPr>
          <t xml:space="preserve">
all data from table 2</t>
        </r>
      </text>
    </comment>
    <comment ref="J541" authorId="0" shapeId="0" xr:uid="{9D9A2C41-7F72-4C49-9305-1F58BB0C798B}">
      <text>
        <r>
          <rPr>
            <b/>
            <sz val="9"/>
            <color indexed="81"/>
            <rFont val="Tahoma"/>
            <family val="2"/>
          </rPr>
          <t>Juan Baca:</t>
        </r>
        <r>
          <rPr>
            <sz val="9"/>
            <color indexed="81"/>
            <rFont val="Tahoma"/>
            <family val="2"/>
          </rPr>
          <t xml:space="preserve">
Data are least square means of saplings harvested 5 to 30 months after germination (legend table 7)</t>
        </r>
      </text>
    </comment>
    <comment ref="Y541" authorId="0" shapeId="0" xr:uid="{CA2BDBD6-77B1-4A22-B8EC-0A772C83BCB1}">
      <text>
        <r>
          <rPr>
            <b/>
            <sz val="9"/>
            <color indexed="81"/>
            <rFont val="Tahoma"/>
            <family val="2"/>
          </rPr>
          <t>Juan Baca:</t>
        </r>
        <r>
          <rPr>
            <sz val="9"/>
            <color indexed="81"/>
            <rFont val="Tahoma"/>
            <family val="2"/>
          </rPr>
          <t xml:space="preserve">
data from table 7</t>
        </r>
      </text>
    </comment>
    <comment ref="J559" authorId="0" shapeId="0" xr:uid="{5891A0ED-8C2E-44BC-871E-19437C4BFE70}">
      <text>
        <r>
          <rPr>
            <b/>
            <sz val="9"/>
            <color indexed="81"/>
            <rFont val="Tahoma"/>
            <family val="2"/>
          </rPr>
          <t>Juan Baca:</t>
        </r>
        <r>
          <rPr>
            <sz val="9"/>
            <color indexed="81"/>
            <rFont val="Tahoma"/>
            <family val="2"/>
          </rPr>
          <t xml:space="preserve">
seven days germinated in wet Perley + 3 days after transplanting + 4 days of drought treatment</t>
        </r>
      </text>
    </comment>
    <comment ref="K559" authorId="0" shapeId="0" xr:uid="{286E57EF-7A6D-4362-9811-CD5FD4541C69}">
      <text>
        <r>
          <rPr>
            <b/>
            <sz val="9"/>
            <color indexed="81"/>
            <rFont val="Tahoma"/>
            <family val="2"/>
          </rPr>
          <t>Juan Baca:</t>
        </r>
        <r>
          <rPr>
            <sz val="9"/>
            <color indexed="81"/>
            <rFont val="Tahoma"/>
            <family val="2"/>
          </rPr>
          <t xml:space="preserve">
ABA and MTX sprayed to the shoot; MTX is stomatal opening inhibitor</t>
        </r>
      </text>
    </comment>
    <comment ref="J565" authorId="0" shapeId="0" xr:uid="{16958571-4B89-4629-98D7-9D34083596C7}">
      <text>
        <r>
          <rPr>
            <b/>
            <sz val="9"/>
            <color indexed="81"/>
            <rFont val="Tahoma"/>
            <family val="2"/>
          </rPr>
          <t>Juan Baca:</t>
        </r>
        <r>
          <rPr>
            <sz val="9"/>
            <color indexed="81"/>
            <rFont val="Tahoma"/>
            <family val="2"/>
          </rPr>
          <t xml:space="preserve">
no age reported, only phenoloigical stage</t>
        </r>
      </text>
    </comment>
    <comment ref="Z565" authorId="0" shapeId="0" xr:uid="{EC664A35-A731-489C-B87B-8BCDE2709515}">
      <text>
        <r>
          <rPr>
            <b/>
            <sz val="9"/>
            <color indexed="81"/>
            <rFont val="Tahoma"/>
            <family val="2"/>
          </rPr>
          <t>Juan Baca:</t>
        </r>
        <r>
          <rPr>
            <sz val="9"/>
            <color indexed="81"/>
            <rFont val="Tahoma"/>
            <family val="2"/>
          </rPr>
          <t xml:space="preserve">
data from table 1</t>
        </r>
      </text>
    </comment>
    <comment ref="Y568" authorId="0" shapeId="0" xr:uid="{6CDA7AF9-CD4B-47A1-AFF0-26D10C314D95}">
      <text>
        <r>
          <rPr>
            <b/>
            <sz val="9"/>
            <color indexed="81"/>
            <rFont val="Tahoma"/>
            <family val="2"/>
          </rPr>
          <t>Juan Baca:</t>
        </r>
        <r>
          <rPr>
            <sz val="9"/>
            <color indexed="81"/>
            <rFont val="Tahoma"/>
            <family val="2"/>
          </rPr>
          <t xml:space="preserve">
Data from table 1</t>
        </r>
      </text>
    </comment>
    <comment ref="J572" authorId="0" shapeId="0" xr:uid="{7A3171F3-CDCB-4F59-9C2F-AF85885F2851}">
      <text>
        <r>
          <rPr>
            <b/>
            <sz val="9"/>
            <color indexed="81"/>
            <rFont val="Tahoma"/>
            <family val="2"/>
          </rPr>
          <t>Juan Baca:</t>
        </r>
        <r>
          <rPr>
            <sz val="9"/>
            <color indexed="81"/>
            <rFont val="Tahoma"/>
            <family val="2"/>
          </rPr>
          <t xml:space="preserve">
Seedlings, as experimental materials, with six leaves and one core and no culm, were grown for approximately 35 d, including germination time, prior to the measurement of
relevant parameters of wheat roots (page 304)</t>
        </r>
      </text>
    </comment>
    <comment ref="AB572" authorId="0" shapeId="0" xr:uid="{3272281A-A15F-4C9F-A5CA-CC0B51932482}">
      <text>
        <r>
          <rPr>
            <b/>
            <sz val="9"/>
            <color indexed="81"/>
            <rFont val="Tahoma"/>
            <family val="2"/>
          </rPr>
          <t>Juan Baca:</t>
        </r>
        <r>
          <rPr>
            <sz val="9"/>
            <color indexed="81"/>
            <rFont val="Tahoma"/>
            <family val="2"/>
          </rPr>
          <t xml:space="preserve">
all data from table 1  (Lprs)</t>
        </r>
      </text>
    </comment>
    <comment ref="J578" authorId="0" shapeId="0" xr:uid="{DCEF4E21-012F-42E3-969D-B398E658A7DD}">
      <text>
        <r>
          <rPr>
            <b/>
            <sz val="9"/>
            <color indexed="81"/>
            <rFont val="Tahoma"/>
            <family val="2"/>
          </rPr>
          <t>Juan Baca:</t>
        </r>
        <r>
          <rPr>
            <sz val="9"/>
            <color indexed="81"/>
            <rFont val="Tahoma"/>
            <family val="2"/>
          </rPr>
          <t xml:space="preserve">
start of the experiment: 15 June; end: 6th November &gt; total expemiment &gt; 4.5 months</t>
        </r>
      </text>
    </comment>
    <comment ref="W578" authorId="0" shapeId="0" xr:uid="{3BF35C49-08D1-4CAD-A600-70A31361B2B9}">
      <text>
        <r>
          <rPr>
            <b/>
            <sz val="9"/>
            <color indexed="81"/>
            <rFont val="Tahoma"/>
            <family val="2"/>
          </rPr>
          <t>Juan Baca:</t>
        </r>
        <r>
          <rPr>
            <sz val="9"/>
            <color indexed="81"/>
            <rFont val="Tahoma"/>
            <family val="2"/>
          </rPr>
          <t xml:space="preserve">
all data from Table 1</t>
        </r>
      </text>
    </comment>
    <comment ref="J581" authorId="0" shapeId="0" xr:uid="{4617BA08-7C2E-47A4-8A84-30173D6B1A30}">
      <text>
        <r>
          <rPr>
            <b/>
            <sz val="9"/>
            <color indexed="81"/>
            <rFont val="Tahoma"/>
            <family val="2"/>
          </rPr>
          <t>Juan Baca:</t>
        </r>
        <r>
          <rPr>
            <sz val="9"/>
            <color indexed="81"/>
            <rFont val="Tahoma"/>
            <family val="2"/>
          </rPr>
          <t xml:space="preserve">
6- month-old saplings of the other late successional species were raised from cuttings+ 90days grown in pots for late succesional species + additional 90 days if measured as "Sun saplings" (page 190)</t>
        </r>
      </text>
    </comment>
    <comment ref="J583" authorId="0" shapeId="0" xr:uid="{7C59CBEB-BBB7-4AA1-8DC6-E3CD8960ECC0}">
      <text>
        <r>
          <rPr>
            <b/>
            <sz val="9"/>
            <color indexed="81"/>
            <rFont val="Tahoma"/>
            <family val="2"/>
          </rPr>
          <t>Juan Baca:</t>
        </r>
        <r>
          <rPr>
            <sz val="9"/>
            <color indexed="81"/>
            <rFont val="Tahoma"/>
            <family val="2"/>
          </rPr>
          <t xml:space="preserve">
Three-month-old saplings of S. acuminata, T. orientalis, and M. gigantea were raised from seeds +60days grown in pots for pioneer species + additional 60 days if measured as "Sun saplings" (page 190)</t>
        </r>
      </text>
    </comment>
    <comment ref="J593" authorId="0" shapeId="0" xr:uid="{B2329F67-09AE-4800-A3B2-D1368DD609E4}">
      <text>
        <r>
          <rPr>
            <b/>
            <sz val="9"/>
            <color indexed="81"/>
            <rFont val="Tahoma"/>
            <family val="2"/>
          </rPr>
          <t>Juan Baca:</t>
        </r>
        <r>
          <rPr>
            <sz val="9"/>
            <color indexed="81"/>
            <rFont val="Tahoma"/>
            <family val="2"/>
          </rPr>
          <t xml:space="preserve">
6- month-old saplings of the other late successional species were raised from cuttings+ 90days grown in pots for late succesional species + additional 90 days if measured as "Sun saplings" (page 190)</t>
        </r>
      </text>
    </comment>
    <comment ref="J595" authorId="0" shapeId="0" xr:uid="{7CA50002-A61B-4308-BDCA-8B10C13F7835}">
      <text>
        <r>
          <rPr>
            <b/>
            <sz val="9"/>
            <color indexed="81"/>
            <rFont val="Tahoma"/>
            <family val="2"/>
          </rPr>
          <t>Juan Baca:</t>
        </r>
        <r>
          <rPr>
            <sz val="9"/>
            <color indexed="81"/>
            <rFont val="Tahoma"/>
            <family val="2"/>
          </rPr>
          <t xml:space="preserve">
Three-month-old saplings of S. acuminata, T. orientalis, and M. gigantea were raised from seeds +60days grown in pots for pioneer species + additional 60 days if measured as "Sun saplings" (page 190)</t>
        </r>
      </text>
    </comment>
    <comment ref="J605" authorId="0" shapeId="0" xr:uid="{A05BD21F-8408-4986-8AE2-4529369D35AE}">
      <text>
        <r>
          <rPr>
            <b/>
            <sz val="9"/>
            <color indexed="81"/>
            <rFont val="Tahoma"/>
            <family val="2"/>
          </rPr>
          <t>Juan Baca:</t>
        </r>
        <r>
          <rPr>
            <sz val="9"/>
            <color indexed="81"/>
            <rFont val="Tahoma"/>
            <family val="2"/>
          </rPr>
          <t xml:space="preserve">
6 week old pl;ants grown for additional 6 weeks (page259)</t>
        </r>
      </text>
    </comment>
    <comment ref="AD605" authorId="0" shapeId="0" xr:uid="{71F323AC-D47A-40D8-BF03-72888FED3416}">
      <text>
        <r>
          <rPr>
            <b/>
            <sz val="9"/>
            <color indexed="81"/>
            <rFont val="Tahoma"/>
            <family val="2"/>
          </rPr>
          <t>Juan Baca:</t>
        </r>
        <r>
          <rPr>
            <sz val="9"/>
            <color indexed="81"/>
            <rFont val="Tahoma"/>
            <family val="2"/>
          </rPr>
          <t xml:space="preserve">
extracted from page 261</t>
        </r>
      </text>
    </comment>
    <comment ref="J607" authorId="0" shapeId="0" xr:uid="{55EB01F3-CFC0-4CB6-91B4-100DD6E5BD6C}">
      <text>
        <r>
          <rPr>
            <b/>
            <sz val="9"/>
            <color indexed="81"/>
            <rFont val="Tahoma"/>
            <family val="2"/>
          </rPr>
          <t>Juan Baca:</t>
        </r>
        <r>
          <rPr>
            <sz val="9"/>
            <color indexed="81"/>
            <rFont val="Tahoma"/>
            <family val="2"/>
          </rPr>
          <t xml:space="preserve">
Wheat seedlings (Triticum durum Desf., cv. Bezenchukskaya 139) were grown for7d</t>
        </r>
      </text>
    </comment>
    <comment ref="X607" authorId="0" shapeId="0" xr:uid="{F3F530D2-DA25-48AB-8889-6A9A1C344F53}">
      <text>
        <r>
          <rPr>
            <b/>
            <sz val="9"/>
            <color indexed="81"/>
            <rFont val="Tahoma"/>
            <family val="2"/>
          </rPr>
          <t>Juan Baca:</t>
        </r>
        <r>
          <rPr>
            <sz val="9"/>
            <color indexed="81"/>
            <rFont val="Tahoma"/>
            <family val="2"/>
          </rPr>
          <t xml:space="preserve">
data from table 2</t>
        </r>
      </text>
    </comment>
    <comment ref="X608" authorId="0" shapeId="0" xr:uid="{87ED9DDD-AC27-48FC-B9D5-13AB2090C14D}">
      <text>
        <r>
          <rPr>
            <b/>
            <sz val="9"/>
            <color indexed="81"/>
            <rFont val="Tahoma"/>
            <family val="2"/>
          </rPr>
          <t>Juan Baca:</t>
        </r>
        <r>
          <rPr>
            <sz val="9"/>
            <color indexed="81"/>
            <rFont val="Tahoma"/>
            <family val="2"/>
          </rPr>
          <t xml:space="preserve">
data from table 2</t>
        </r>
      </text>
    </comment>
    <comment ref="J609" authorId="0" shapeId="0" xr:uid="{24644A39-08FE-411C-9B55-55A18FEE60D8}">
      <text>
        <r>
          <rPr>
            <b/>
            <sz val="9"/>
            <color indexed="81"/>
            <rFont val="Tahoma"/>
            <family val="2"/>
          </rPr>
          <t>Juan Baca:</t>
        </r>
        <r>
          <rPr>
            <sz val="9"/>
            <color indexed="81"/>
            <rFont val="Tahoma"/>
            <family val="2"/>
          </rPr>
          <t xml:space="preserve">
in vitro for 10 d and further
transplanted into hydroponic culture as previously described; For water transport assays and for microscopic observations, plants
were used 20 to 25 d (page 802)</t>
        </r>
      </text>
    </comment>
    <comment ref="Y609" authorId="0" shapeId="0" xr:uid="{9F4E82DF-A08A-4469-BF1F-91B02D07BCD8}">
      <text>
        <r>
          <rPr>
            <b/>
            <sz val="9"/>
            <color indexed="81"/>
            <rFont val="Tahoma"/>
            <family val="2"/>
          </rPr>
          <t>Juan Baca:</t>
        </r>
        <r>
          <rPr>
            <sz val="9"/>
            <color indexed="81"/>
            <rFont val="Tahoma"/>
            <family val="2"/>
          </rPr>
          <t xml:space="preserve">
data from text (pages 791-792)</t>
        </r>
      </text>
    </comment>
    <comment ref="J614" authorId="0" shapeId="0" xr:uid="{1ED2E4F2-2898-4086-AC76-82FD7423685B}">
      <text>
        <r>
          <rPr>
            <b/>
            <sz val="9"/>
            <color indexed="81"/>
            <rFont val="Tahoma"/>
            <family val="2"/>
          </rPr>
          <t>Juan Baca:</t>
        </r>
        <r>
          <rPr>
            <sz val="9"/>
            <color indexed="81"/>
            <rFont val="Tahoma"/>
            <family val="2"/>
          </rPr>
          <t xml:space="preserve">
6 weeks grown in soil and then 2 weeks in containers with hoagland solution</t>
        </r>
      </text>
    </comment>
    <comment ref="K614" authorId="0" shapeId="0" xr:uid="{A20913A8-6203-42BC-91DB-3CBF95E258C4}">
      <text>
        <r>
          <rPr>
            <b/>
            <sz val="9"/>
            <color indexed="81"/>
            <rFont val="Tahoma"/>
            <family val="2"/>
          </rPr>
          <t>Juan Baca:</t>
        </r>
        <r>
          <rPr>
            <sz val="9"/>
            <color indexed="81"/>
            <rFont val="Tahoma"/>
            <family val="2"/>
          </rPr>
          <t xml:space="preserve">
AQP inhibition by aplying cycloheximide (protein inhibitior)</t>
        </r>
      </text>
    </comment>
    <comment ref="J620" authorId="0" shapeId="0" xr:uid="{12CAC05A-269B-4955-89A3-27BF59DD7580}">
      <text>
        <r>
          <rPr>
            <b/>
            <sz val="9"/>
            <color indexed="81"/>
            <rFont val="Tahoma"/>
            <family val="2"/>
          </rPr>
          <t>Juan Baca:</t>
        </r>
        <r>
          <rPr>
            <sz val="9"/>
            <color indexed="81"/>
            <rFont val="Tahoma"/>
            <family val="2"/>
          </rPr>
          <t xml:space="preserve">
2-year old seedlings (page 108)</t>
        </r>
      </text>
    </comment>
    <comment ref="AB620" authorId="0" shapeId="0" xr:uid="{D424FAEF-A4B7-45AC-8E0A-19A6B4F75673}">
      <text>
        <r>
          <rPr>
            <b/>
            <sz val="9"/>
            <color indexed="81"/>
            <rFont val="Tahoma"/>
            <family val="2"/>
          </rPr>
          <t>Juan Baca:</t>
        </r>
        <r>
          <rPr>
            <sz val="9"/>
            <color indexed="81"/>
            <rFont val="Tahoma"/>
            <family val="2"/>
          </rPr>
          <t xml:space="preserve">
data from text (page 111)</t>
        </r>
      </text>
    </comment>
    <comment ref="AD620" authorId="0" shapeId="0" xr:uid="{DDB0740C-DB6A-4FEA-BC70-9130E1FEC4EA}">
      <text>
        <r>
          <rPr>
            <b/>
            <sz val="9"/>
            <color indexed="81"/>
            <rFont val="Tahoma"/>
            <family val="2"/>
          </rPr>
          <t>Juan Baca:</t>
        </r>
        <r>
          <rPr>
            <sz val="9"/>
            <color indexed="81"/>
            <rFont val="Tahoma"/>
            <family val="2"/>
          </rPr>
          <t xml:space="preserve">
Area root and Area leaf extracted from table 1</t>
        </r>
      </text>
    </comment>
    <comment ref="J624" authorId="0" shapeId="0" xr:uid="{B307CDD8-DB4D-4D66-93BB-E30030DF67CB}">
      <text>
        <r>
          <rPr>
            <b/>
            <sz val="9"/>
            <color indexed="81"/>
            <rFont val="Tahoma"/>
            <family val="2"/>
          </rPr>
          <t>Juan Baca:</t>
        </r>
        <r>
          <rPr>
            <sz val="9"/>
            <color indexed="81"/>
            <rFont val="Tahoma"/>
            <family val="2"/>
          </rPr>
          <t xml:space="preserve">
six wee old seedling placed into aerated solution culture and grown for 1 month (page 45)</t>
        </r>
      </text>
    </comment>
    <comment ref="L624" authorId="0" shapeId="0" xr:uid="{A9DDD1F2-66DB-40BF-B123-D4842BC73988}">
      <text>
        <r>
          <rPr>
            <b/>
            <sz val="9"/>
            <color indexed="81"/>
            <rFont val="Tahoma"/>
            <family val="2"/>
          </rPr>
          <t>Juan Baca:</t>
        </r>
        <r>
          <rPr>
            <sz val="9"/>
            <color indexed="81"/>
            <rFont val="Tahoma"/>
            <family val="2"/>
          </rPr>
          <t xml:space="preserve">
moderate stress not included, because not clear what this means</t>
        </r>
      </text>
    </comment>
    <comment ref="AD624" authorId="0" shapeId="0" xr:uid="{1C1A73AF-165A-4B22-97A6-297C1F17F392}">
      <text>
        <r>
          <rPr>
            <b/>
            <sz val="9"/>
            <color indexed="81"/>
            <rFont val="Tahoma"/>
            <family val="2"/>
          </rPr>
          <t>Juan Baca:</t>
        </r>
        <r>
          <rPr>
            <sz val="9"/>
            <color indexed="81"/>
            <rFont val="Tahoma"/>
            <family val="2"/>
          </rPr>
          <t xml:space="preserve">
data from text (page 47)</t>
        </r>
      </text>
    </comment>
    <comment ref="J626" authorId="0" shapeId="0" xr:uid="{01D178D0-47B8-43E1-9CF9-E308920D8581}">
      <text>
        <r>
          <rPr>
            <b/>
            <sz val="9"/>
            <color indexed="81"/>
            <rFont val="Tahoma"/>
            <family val="2"/>
          </rPr>
          <t>Juan Baca:</t>
        </r>
        <r>
          <rPr>
            <sz val="9"/>
            <color indexed="81"/>
            <rFont val="Tahoma"/>
            <family val="2"/>
          </rPr>
          <t xml:space="preserve">
21 days growth + 3 days addaptation before chilling treatment (pages 1752-1753)</t>
        </r>
      </text>
    </comment>
    <comment ref="J632" authorId="0" shapeId="0" xr:uid="{6CE88B68-1046-47B0-BA03-D2B092A168F5}">
      <text>
        <r>
          <rPr>
            <b/>
            <sz val="9"/>
            <color indexed="81"/>
            <rFont val="Tahoma"/>
            <family val="2"/>
          </rPr>
          <t>Juan Baca:</t>
        </r>
        <r>
          <rPr>
            <sz val="9"/>
            <color indexed="81"/>
            <rFont val="Tahoma"/>
            <family val="2"/>
          </rPr>
          <t xml:space="preserve">
Four-week-old
plants were used for water deficit treatment (page 487)</t>
        </r>
      </text>
    </comment>
    <comment ref="K632" authorId="0" shapeId="0" xr:uid="{4B0ADD1F-821B-4180-87FE-C990A86C9CA6}">
      <text>
        <r>
          <rPr>
            <b/>
            <sz val="9"/>
            <color indexed="81"/>
            <rFont val="Tahoma"/>
            <family val="2"/>
          </rPr>
          <t>Juan Baca:</t>
        </r>
        <r>
          <rPr>
            <sz val="9"/>
            <color indexed="81"/>
            <rFont val="Tahoma"/>
            <family val="2"/>
          </rPr>
          <t xml:space="preserve">
a wild type variety was compared against a transgenic</t>
        </r>
      </text>
    </comment>
    <comment ref="AB632" authorId="0" shapeId="0" xr:uid="{71B332C0-B8F0-42CE-ACF1-176F862B2F14}">
      <text>
        <r>
          <rPr>
            <b/>
            <sz val="9"/>
            <color indexed="81"/>
            <rFont val="Tahoma"/>
            <family val="2"/>
          </rPr>
          <t>Juan Baca:</t>
        </r>
        <r>
          <rPr>
            <sz val="9"/>
            <color indexed="81"/>
            <rFont val="Tahoma"/>
            <family val="2"/>
          </rPr>
          <t xml:space="preserve">
data from text (page 485)</t>
        </r>
      </text>
    </comment>
    <comment ref="J636" authorId="0" shapeId="0" xr:uid="{CD3A3572-25CD-44B2-B840-A3E2D4925918}">
      <text>
        <r>
          <rPr>
            <b/>
            <sz val="9"/>
            <color indexed="81"/>
            <rFont val="Tahoma"/>
            <family val="2"/>
          </rPr>
          <t>Juan Baca:</t>
        </r>
        <r>
          <rPr>
            <sz val="9"/>
            <color indexed="81"/>
            <rFont val="Tahoma"/>
            <family val="2"/>
          </rPr>
          <t xml:space="preserve">
The whole root system from cucumber plants grown for 13–15 days </t>
        </r>
      </text>
    </comment>
    <comment ref="AB636" authorId="0" shapeId="0" xr:uid="{EA401F92-9C23-4427-B9DB-581210955246}">
      <text>
        <r>
          <rPr>
            <b/>
            <sz val="9"/>
            <color indexed="81"/>
            <rFont val="Tahoma"/>
            <family val="2"/>
          </rPr>
          <t>Juan Baca:</t>
        </r>
        <r>
          <rPr>
            <sz val="9"/>
            <color indexed="81"/>
            <rFont val="Tahoma"/>
            <family val="2"/>
          </rPr>
          <t xml:space="preserve">
data from table 2</t>
        </r>
      </text>
    </comment>
    <comment ref="J640" authorId="0" shapeId="0" xr:uid="{6FD0FA68-63BA-4291-B344-75B234C5B714}">
      <text>
        <r>
          <rPr>
            <b/>
            <sz val="9"/>
            <color indexed="81"/>
            <rFont val="Tahoma"/>
            <family val="2"/>
          </rPr>
          <t>Juan Baca:</t>
        </r>
        <r>
          <rPr>
            <sz val="9"/>
            <color indexed="81"/>
            <rFont val="Tahoma"/>
            <family val="2"/>
          </rPr>
          <t xml:space="preserve">
18 month old seedlings (page 36)</t>
        </r>
      </text>
    </comment>
    <comment ref="W640" authorId="0" shapeId="0" xr:uid="{0D236F4D-AFA9-4347-AB51-56679CA0F41D}">
      <text>
        <r>
          <rPr>
            <b/>
            <sz val="9"/>
            <color indexed="81"/>
            <rFont val="Tahoma"/>
            <family val="2"/>
          </rPr>
          <t>Juan Baca:</t>
        </r>
        <r>
          <rPr>
            <sz val="9"/>
            <color indexed="81"/>
            <rFont val="Tahoma"/>
            <family val="2"/>
          </rPr>
          <t xml:space="preserve">
only data for last day of flooding treatments (day 34) was extracted</t>
        </r>
      </text>
    </comment>
    <comment ref="J644" authorId="0" shapeId="0" xr:uid="{57991311-F8B4-46CA-B768-B653C2D4AE40}">
      <text>
        <r>
          <rPr>
            <b/>
            <sz val="9"/>
            <color indexed="81"/>
            <rFont val="Tahoma"/>
            <family val="2"/>
          </rPr>
          <t>Juan Baca:</t>
        </r>
        <r>
          <rPr>
            <sz val="9"/>
            <color indexed="81"/>
            <rFont val="Tahoma"/>
            <family val="2"/>
          </rPr>
          <t xml:space="preserve">
6 month-old seedlings + 4 weeks of treatment (pages 184-185)</t>
        </r>
      </text>
    </comment>
    <comment ref="AG644" authorId="0" shapeId="0" xr:uid="{BC665EBC-31B2-442D-A395-B5A9FA56D9EE}">
      <text>
        <r>
          <rPr>
            <b/>
            <sz val="9"/>
            <color indexed="81"/>
            <rFont val="Tahoma"/>
            <family val="2"/>
          </rPr>
          <t>Juan Baca:</t>
        </r>
        <r>
          <rPr>
            <sz val="9"/>
            <color indexed="81"/>
            <rFont val="Tahoma"/>
            <family val="2"/>
          </rPr>
          <t xml:space="preserve">
data from table 1</t>
        </r>
      </text>
    </comment>
    <comment ref="J648" authorId="0" shapeId="0" xr:uid="{9B2A190A-00AF-4FE4-A9FA-2DE39C9CC68E}">
      <text>
        <r>
          <rPr>
            <b/>
            <sz val="9"/>
            <color indexed="81"/>
            <rFont val="Tahoma"/>
            <family val="2"/>
          </rPr>
          <t>Juan Baca:</t>
        </r>
        <r>
          <rPr>
            <sz val="9"/>
            <color indexed="81"/>
            <rFont val="Tahoma"/>
            <family val="2"/>
          </rPr>
          <t xml:space="preserve">
seedling between 12-20 months (page 1446)</t>
        </r>
      </text>
    </comment>
    <comment ref="AI648" authorId="0" shapeId="0" xr:uid="{215846ED-A780-4531-A943-E69F366C86B9}">
      <text>
        <r>
          <rPr>
            <b/>
            <sz val="9"/>
            <color indexed="81"/>
            <rFont val="Tahoma"/>
            <family val="2"/>
          </rPr>
          <t>Juan Baca:</t>
        </r>
        <r>
          <rPr>
            <sz val="9"/>
            <color indexed="81"/>
            <rFont val="Tahoma"/>
            <family val="2"/>
          </rPr>
          <t xml:space="preserve">
data from table 2</t>
        </r>
      </text>
    </comment>
    <comment ref="J673" authorId="0" shapeId="0" xr:uid="{CD222FA1-E730-4E25-A9D4-32D3FDD212AF}">
      <text>
        <r>
          <rPr>
            <b/>
            <sz val="9"/>
            <color indexed="81"/>
            <rFont val="Tahoma"/>
            <family val="2"/>
          </rPr>
          <t>Juan Baca:</t>
        </r>
        <r>
          <rPr>
            <sz val="9"/>
            <color indexed="81"/>
            <rFont val="Tahoma"/>
            <family val="2"/>
          </rPr>
          <t xml:space="preserve">
no clear information about age</t>
        </r>
      </text>
    </comment>
    <comment ref="Z673" authorId="0" shapeId="0" xr:uid="{9F5B3DF3-095D-4351-A842-6FD6AF9BF3B0}">
      <text>
        <r>
          <rPr>
            <b/>
            <sz val="9"/>
            <color indexed="81"/>
            <rFont val="Tahoma"/>
            <family val="2"/>
          </rPr>
          <t>Juan Baca:</t>
        </r>
        <r>
          <rPr>
            <sz val="9"/>
            <color indexed="81"/>
            <rFont val="Tahoma"/>
            <family val="2"/>
          </rPr>
          <t xml:space="preserve">
data from table 1</t>
        </r>
      </text>
    </comment>
    <comment ref="AB673" authorId="0" shapeId="0" xr:uid="{649B0AF5-0E24-4770-9840-9AD55F9A5755}">
      <text>
        <r>
          <rPr>
            <b/>
            <sz val="9"/>
            <color indexed="81"/>
            <rFont val="Tahoma"/>
            <family val="2"/>
          </rPr>
          <t>Juan Baca:</t>
        </r>
        <r>
          <rPr>
            <sz val="9"/>
            <color indexed="81"/>
            <rFont val="Tahoma"/>
            <family val="2"/>
          </rPr>
          <t xml:space="preserve">
data from text (page 347)</t>
        </r>
      </text>
    </comment>
    <comment ref="AH673" authorId="0" shapeId="0" xr:uid="{27C74156-DC05-4A08-8803-409C19D33E7D}">
      <text>
        <r>
          <rPr>
            <b/>
            <sz val="9"/>
            <color indexed="81"/>
            <rFont val="Tahoma"/>
            <family val="2"/>
          </rPr>
          <t>Juan Baca:</t>
        </r>
        <r>
          <rPr>
            <sz val="9"/>
            <color indexed="81"/>
            <rFont val="Tahoma"/>
            <family val="2"/>
          </rPr>
          <t xml:space="preserve">
Mean diameters for both species, estimated by the image-analysis software used to measure root lengths, were 0.5 mm (page 347)</t>
        </r>
      </text>
    </comment>
    <comment ref="J675" authorId="0" shapeId="0" xr:uid="{B3B6466D-5BA3-4F11-BD3A-D5EA46572AD1}">
      <text>
        <r>
          <rPr>
            <b/>
            <sz val="9"/>
            <color indexed="81"/>
            <rFont val="Tahoma"/>
            <family val="2"/>
          </rPr>
          <t>Juan Baca:</t>
        </r>
        <r>
          <rPr>
            <sz val="9"/>
            <color indexed="81"/>
            <rFont val="Tahoma"/>
            <family val="2"/>
          </rPr>
          <t xml:space="preserve">
Plants used in experiments were grown for 31–40 days (page 194)</t>
        </r>
      </text>
    </comment>
    <comment ref="AB675" authorId="0" shapeId="0" xr:uid="{16C59F1D-081F-4448-8294-8112BDCFC68D}">
      <text>
        <r>
          <rPr>
            <b/>
            <sz val="9"/>
            <color indexed="81"/>
            <rFont val="Tahoma"/>
            <family val="2"/>
          </rPr>
          <t>Juan Baca:</t>
        </r>
        <r>
          <rPr>
            <sz val="9"/>
            <color indexed="81"/>
            <rFont val="Tahoma"/>
            <family val="2"/>
          </rPr>
          <t xml:space="preserve">
Data from Table 1</t>
        </r>
      </text>
    </comment>
    <comment ref="AD675" authorId="0" shapeId="0" xr:uid="{E2022489-3D55-4A5F-9A39-846C4A91851F}">
      <text>
        <r>
          <rPr>
            <b/>
            <sz val="9"/>
            <color indexed="81"/>
            <rFont val="Tahoma"/>
            <family val="2"/>
          </rPr>
          <t>Juan Baca:</t>
        </r>
        <r>
          <rPr>
            <sz val="9"/>
            <color indexed="81"/>
            <rFont val="Tahoma"/>
            <family val="2"/>
          </rPr>
          <t xml:space="preserve">
Data from methods (page 195)
</t>
        </r>
      </text>
    </comment>
    <comment ref="J679" authorId="0" shapeId="0" xr:uid="{0BCE0CFE-9A24-4059-89F5-1A51DD71C2AB}">
      <text>
        <r>
          <rPr>
            <b/>
            <sz val="9"/>
            <color indexed="81"/>
            <rFont val="Tahoma"/>
            <family val="2"/>
          </rPr>
          <t>Juan Baca:</t>
        </r>
        <r>
          <rPr>
            <sz val="9"/>
            <color indexed="81"/>
            <rFont val="Tahoma"/>
            <family val="2"/>
          </rPr>
          <t xml:space="preserve">
The plants were grown at ambient sunlight in a glasshouse where the temperature ranged
between 18 and 30 C (mean minimum and maximum), for 6 weeks (page 238)</t>
        </r>
      </text>
    </comment>
    <comment ref="J688" authorId="0" shapeId="0" xr:uid="{8700BB1E-9456-40EC-9B17-7C9ABB0BEF0E}">
      <text>
        <r>
          <rPr>
            <b/>
            <sz val="9"/>
            <color indexed="81"/>
            <rFont val="Tahoma"/>
            <charset val="1"/>
          </rPr>
          <t>Juan Baca:</t>
        </r>
        <r>
          <rPr>
            <sz val="9"/>
            <color indexed="81"/>
            <rFont val="Tahoma"/>
            <charset val="1"/>
          </rPr>
          <t xml:space="preserve">
When the plants were 5 weeks old, concentrations of 20, 40, 60, 80, and 100 mmol/L NaCl were added and 24 h (page 690)</t>
        </r>
      </text>
    </comment>
    <comment ref="J692" authorId="0" shapeId="0" xr:uid="{ADCB1326-CD31-4066-B084-4F8D13A34B10}">
      <text>
        <r>
          <rPr>
            <b/>
            <sz val="9"/>
            <color indexed="81"/>
            <rFont val="Tahoma"/>
            <family val="2"/>
          </rPr>
          <t>Juan Baca:</t>
        </r>
        <r>
          <rPr>
            <sz val="9"/>
            <color indexed="81"/>
            <rFont val="Tahoma"/>
            <family val="2"/>
          </rPr>
          <t xml:space="preserve">
no clear infromation about age</t>
        </r>
      </text>
    </comment>
    <comment ref="W692" authorId="0" shapeId="0" xr:uid="{4E75813B-DCDB-4C20-B897-B9C102A0FECE}">
      <text>
        <r>
          <rPr>
            <b/>
            <sz val="9"/>
            <color indexed="81"/>
            <rFont val="Tahoma"/>
            <family val="2"/>
          </rPr>
          <t>Juan Baca:</t>
        </r>
        <r>
          <rPr>
            <sz val="9"/>
            <color indexed="81"/>
            <rFont val="Tahoma"/>
            <family val="2"/>
          </rPr>
          <t xml:space="preserve">
data from text; page 425</t>
        </r>
      </text>
    </comment>
    <comment ref="J694" authorId="0" shapeId="0" xr:uid="{AB9E242D-014C-4A04-9D2B-0323DA6CD4CC}">
      <text>
        <r>
          <rPr>
            <b/>
            <sz val="9"/>
            <color indexed="81"/>
            <rFont val="Tahoma"/>
            <family val="2"/>
          </rPr>
          <t>Juan Baca:</t>
        </r>
        <r>
          <rPr>
            <sz val="9"/>
            <color indexed="81"/>
            <rFont val="Tahoma"/>
            <family val="2"/>
          </rPr>
          <t xml:space="preserve">
measurements after 4 months of growth</t>
        </r>
      </text>
    </comment>
    <comment ref="AB714" authorId="0" shapeId="0" xr:uid="{F0313E19-6A66-4132-9696-EC2CAF6F9F3F}">
      <text>
        <r>
          <rPr>
            <b/>
            <sz val="9"/>
            <color indexed="81"/>
            <rFont val="Tahoma"/>
            <charset val="1"/>
          </rPr>
          <t>Juan Baca:</t>
        </r>
        <r>
          <rPr>
            <sz val="9"/>
            <color indexed="81"/>
            <rFont val="Tahoma"/>
            <charset val="1"/>
          </rPr>
          <t xml:space="preserve">
data from table 3</t>
        </r>
      </text>
    </comment>
    <comment ref="AB717" authorId="0" shapeId="0" xr:uid="{A564DFC9-F0D4-4AAC-AA39-69B36D6FD5DC}">
      <text>
        <r>
          <rPr>
            <b/>
            <sz val="9"/>
            <color indexed="81"/>
            <rFont val="Tahoma"/>
            <charset val="1"/>
          </rPr>
          <t>Juan Baca:</t>
        </r>
        <r>
          <rPr>
            <sz val="9"/>
            <color indexed="81"/>
            <rFont val="Tahoma"/>
            <charset val="1"/>
          </rPr>
          <t xml:space="preserve">
data from text (page 514)</t>
        </r>
      </text>
    </comment>
    <comment ref="J720" authorId="0" shapeId="0" xr:uid="{0D2A1ECF-7985-4C6C-BD34-DA558274095D}">
      <text>
        <r>
          <rPr>
            <b/>
            <sz val="9"/>
            <color indexed="81"/>
            <rFont val="Tahoma"/>
            <family val="2"/>
          </rPr>
          <t>Juan Baca:</t>
        </r>
        <r>
          <rPr>
            <sz val="9"/>
            <color indexed="81"/>
            <rFont val="Tahoma"/>
            <family val="2"/>
          </rPr>
          <t xml:space="preserve">
By this stage the plants had a mean height 32 cm (range 19–53) and leaf area of 258 cm2 (range 41–623) and were 15-months-old (page 2240)</t>
        </r>
      </text>
    </comment>
    <comment ref="AI720" authorId="0" shapeId="0" xr:uid="{520503D6-E3F0-4882-B393-20FFBACA9B4F}">
      <text>
        <r>
          <rPr>
            <b/>
            <sz val="9"/>
            <color indexed="81"/>
            <rFont val="Tahoma"/>
            <family val="2"/>
          </rPr>
          <t>Juan Baca:</t>
        </r>
        <r>
          <rPr>
            <sz val="9"/>
            <color indexed="81"/>
            <rFont val="Tahoma"/>
            <family val="2"/>
          </rPr>
          <t xml:space="preserve">
By this stage the plants had a mean height 32 cm (range 19–53) and leaf area of 258 cm2 (range 41–623) and were 15-months-old (page 2240)</t>
        </r>
      </text>
    </comment>
    <comment ref="J724" authorId="0" shapeId="0" xr:uid="{8F02B809-7BE7-4DAA-9669-32871BDC1DAB}">
      <text>
        <r>
          <rPr>
            <b/>
            <sz val="9"/>
            <color indexed="81"/>
            <rFont val="Tahoma"/>
            <family val="2"/>
          </rPr>
          <t>Juan Baca:</t>
        </r>
        <r>
          <rPr>
            <sz val="9"/>
            <color indexed="81"/>
            <rFont val="Tahoma"/>
            <family val="2"/>
          </rPr>
          <t xml:space="preserve">
no infromation given about plant age (only about duration of treatments)</t>
        </r>
      </text>
    </comment>
    <comment ref="K724" authorId="0" shapeId="0" xr:uid="{2961764E-6D69-402F-83BF-A079379E12C8}">
      <text>
        <r>
          <rPr>
            <b/>
            <sz val="9"/>
            <color indexed="81"/>
            <rFont val="Tahoma"/>
            <family val="2"/>
          </rPr>
          <t>Juan Baca:</t>
        </r>
        <r>
          <rPr>
            <sz val="9"/>
            <color indexed="81"/>
            <rFont val="Tahoma"/>
            <family val="2"/>
          </rPr>
          <t xml:space="preserve">
inhibition of AQP expression was obtained by using mutants without an specifi gen</t>
        </r>
      </text>
    </comment>
    <comment ref="AB724" authorId="0" shapeId="0" xr:uid="{70ABCDBA-4B5D-4F30-B5DC-19C1E51A4BFE}">
      <text>
        <r>
          <rPr>
            <b/>
            <sz val="9"/>
            <color indexed="81"/>
            <rFont val="Tahoma"/>
            <family val="2"/>
          </rPr>
          <t>Juan Baca:</t>
        </r>
        <r>
          <rPr>
            <sz val="9"/>
            <color indexed="81"/>
            <rFont val="Tahoma"/>
            <family val="2"/>
          </rPr>
          <t xml:space="preserve">
data from table 1</t>
        </r>
      </text>
    </comment>
    <comment ref="J726" authorId="0" shapeId="0" xr:uid="{7F4A3441-C9B9-4901-AFC7-78AAF7E0240F}">
      <text>
        <r>
          <rPr>
            <b/>
            <sz val="9"/>
            <color indexed="81"/>
            <rFont val="Tahoma"/>
            <family val="2"/>
          </rPr>
          <t>Juan Baca:</t>
        </r>
        <r>
          <rPr>
            <sz val="9"/>
            <color indexed="81"/>
            <rFont val="Tahoma"/>
            <family val="2"/>
          </rPr>
          <t xml:space="preserve">
Seeds of white spruce [Picea glauca (Moench) Voss] were germinated and seedlings grown for 10 months (page 218) +10 weeks of treatment</t>
        </r>
      </text>
    </comment>
    <comment ref="AF726" authorId="0" shapeId="0" xr:uid="{5314252C-B32E-4802-A092-ABAC02B80065}">
      <text>
        <r>
          <rPr>
            <b/>
            <sz val="9"/>
            <color indexed="81"/>
            <rFont val="Tahoma"/>
            <family val="2"/>
          </rPr>
          <t>Juan Baca:</t>
        </r>
        <r>
          <rPr>
            <sz val="9"/>
            <color indexed="81"/>
            <rFont val="Tahoma"/>
            <family val="2"/>
          </rPr>
          <t xml:space="preserve">
data from table 1</t>
        </r>
      </text>
    </comment>
    <comment ref="J730" authorId="0" shapeId="0" xr:uid="{4CF919B1-BBD0-4C43-8F6E-B70DBC35EC90}">
      <text>
        <r>
          <rPr>
            <b/>
            <sz val="9"/>
            <color indexed="81"/>
            <rFont val="Tahoma"/>
            <family val="2"/>
          </rPr>
          <t>Juan Baca:</t>
        </r>
        <r>
          <rPr>
            <sz val="9"/>
            <color indexed="81"/>
            <rFont val="Tahoma"/>
            <family val="2"/>
          </rPr>
          <t xml:space="preserve">
12 weeks in growth chamber + 4 weeks with hogland solution + 8 weeks inoculated with mycrorrhiza (page 153)</t>
        </r>
      </text>
    </comment>
    <comment ref="K730" authorId="0" shapeId="0" xr:uid="{597A87AD-068D-4438-8861-C5AC4B84C0BF}">
      <text>
        <r>
          <rPr>
            <b/>
            <sz val="9"/>
            <color indexed="81"/>
            <rFont val="Tahoma"/>
            <family val="2"/>
          </rPr>
          <t>Juan Baca:</t>
        </r>
        <r>
          <rPr>
            <sz val="9"/>
            <color indexed="81"/>
            <rFont val="Tahoma"/>
            <family val="2"/>
          </rPr>
          <t xml:space="preserve">
AQP inhibition (or rather water transport inhibition) was achieved by adding HgCl2</t>
        </r>
      </text>
    </comment>
    <comment ref="W730" authorId="0" shapeId="0" xr:uid="{12219ECA-C964-4ACB-93F8-D7D7CC1CAD8C}">
      <text>
        <r>
          <rPr>
            <b/>
            <sz val="9"/>
            <color indexed="81"/>
            <rFont val="Tahoma"/>
            <family val="2"/>
          </rPr>
          <t>Juan Baca:</t>
        </r>
        <r>
          <rPr>
            <sz val="9"/>
            <color indexed="81"/>
            <rFont val="Tahoma"/>
            <family val="2"/>
          </rPr>
          <t xml:space="preserve">
values after 90 minutes of treatment start</t>
        </r>
      </text>
    </comment>
    <comment ref="J744" authorId="0" shapeId="0" xr:uid="{B162D49A-0DC7-4B57-BACC-44A89E62818E}">
      <text>
        <r>
          <rPr>
            <b/>
            <sz val="9"/>
            <color indexed="81"/>
            <rFont val="Tahoma"/>
            <family val="2"/>
          </rPr>
          <t>Juan Baca:</t>
        </r>
        <r>
          <rPr>
            <sz val="9"/>
            <color indexed="81"/>
            <rFont val="Tahoma"/>
            <family val="2"/>
          </rPr>
          <t xml:space="preserve">
Aspen (Populus tremuloides) seedlings were germinated and grown for 6 weeks (page 966) + 3 weeks grown in nutrient solution + 10 days of treatment</t>
        </r>
      </text>
    </comment>
    <comment ref="J746" authorId="0" shapeId="0" xr:uid="{2669AE0F-A4AD-478D-A2B3-AEC318EEFD4A}">
      <text>
        <r>
          <rPr>
            <b/>
            <sz val="9"/>
            <color indexed="81"/>
            <rFont val="Tahoma"/>
            <family val="2"/>
          </rPr>
          <t>Juan Baca:</t>
        </r>
        <r>
          <rPr>
            <sz val="9"/>
            <color indexed="81"/>
            <rFont val="Tahoma"/>
            <family val="2"/>
          </rPr>
          <t xml:space="preserve">
5 month old seedling of batch one. .. (page 390, 393)</t>
        </r>
      </text>
    </comment>
    <comment ref="W746" authorId="0" shapeId="0" xr:uid="{88FBAC61-F8D7-4E61-B503-6BFED22F52DF}">
      <text>
        <r>
          <rPr>
            <b/>
            <sz val="9"/>
            <color indexed="81"/>
            <rFont val="Tahoma"/>
            <family val="2"/>
          </rPr>
          <t>Juan Baca:</t>
        </r>
        <r>
          <rPr>
            <sz val="9"/>
            <color indexed="81"/>
            <rFont val="Tahoma"/>
            <family val="2"/>
          </rPr>
          <t xml:space="preserve">
from page 393</t>
        </r>
      </text>
    </comment>
    <comment ref="AB746" authorId="0" shapeId="0" xr:uid="{ADBB1600-561F-4EF7-86EE-A4832E7293B0}">
      <text>
        <r>
          <rPr>
            <b/>
            <sz val="9"/>
            <color indexed="81"/>
            <rFont val="Tahoma"/>
            <family val="2"/>
          </rPr>
          <t>Juan Baca:</t>
        </r>
        <r>
          <rPr>
            <sz val="9"/>
            <color indexed="81"/>
            <rFont val="Tahoma"/>
            <family val="2"/>
          </rPr>
          <t xml:space="preserve">
from page 394</t>
        </r>
      </text>
    </comment>
    <comment ref="J747" authorId="0" shapeId="0" xr:uid="{42DFA4C5-B353-441D-A21E-DDB03A51FA3A}">
      <text>
        <r>
          <rPr>
            <b/>
            <sz val="9"/>
            <color indexed="81"/>
            <rFont val="Tahoma"/>
            <family val="2"/>
          </rPr>
          <t>Juan Baca:</t>
        </r>
        <r>
          <rPr>
            <sz val="9"/>
            <color indexed="81"/>
            <rFont val="Tahoma"/>
            <family val="2"/>
          </rPr>
          <t xml:space="preserve">
batch 3 trees: one year old fagus sylvatica plants (page 391, 394)</t>
        </r>
      </text>
    </comment>
    <comment ref="J748" authorId="0" shapeId="0" xr:uid="{239C3A30-8E13-4BA8-B2F1-17B98CAE8D7D}">
      <text>
        <r>
          <rPr>
            <b/>
            <sz val="9"/>
            <color indexed="81"/>
            <rFont val="Tahoma"/>
            <family val="2"/>
          </rPr>
          <t>Juan Baca:</t>
        </r>
        <r>
          <rPr>
            <sz val="9"/>
            <color indexed="81"/>
            <rFont val="Tahoma"/>
            <family val="2"/>
          </rPr>
          <t xml:space="preserve">
2 months grown in greenhouse + 1 month grown in solution (pages 691-692)</t>
        </r>
      </text>
    </comment>
    <comment ref="AB748" authorId="0" shapeId="0" xr:uid="{02C40574-1A53-4699-B6C7-C86E15C3BE64}">
      <text>
        <r>
          <rPr>
            <b/>
            <sz val="9"/>
            <color indexed="81"/>
            <rFont val="Tahoma"/>
            <family val="2"/>
          </rPr>
          <t>Juan Baca:</t>
        </r>
        <r>
          <rPr>
            <sz val="9"/>
            <color indexed="81"/>
            <rFont val="Tahoma"/>
            <family val="2"/>
          </rPr>
          <t xml:space="preserve">
data from text (page 692)</t>
        </r>
      </text>
    </comment>
    <comment ref="J752" authorId="0" shapeId="0" xr:uid="{CD13D54D-1A04-45CB-8FBD-BD32EE090967}">
      <text>
        <r>
          <rPr>
            <b/>
            <sz val="9"/>
            <color indexed="81"/>
            <rFont val="Tahoma"/>
            <family val="2"/>
          </rPr>
          <t>Juan Baca:</t>
        </r>
        <r>
          <rPr>
            <sz val="9"/>
            <color indexed="81"/>
            <rFont val="Tahoma"/>
            <family val="2"/>
          </rPr>
          <t xml:space="preserve">
2 months grown in greenhouse + 1 month grown in solution (page 742</t>
        </r>
      </text>
    </comment>
    <comment ref="AB752" authorId="0" shapeId="0" xr:uid="{E00F5CD0-B519-418B-8EA7-BEEDFCCD9928}">
      <text>
        <r>
          <rPr>
            <b/>
            <sz val="9"/>
            <color indexed="81"/>
            <rFont val="Tahoma"/>
            <family val="2"/>
          </rPr>
          <t>Juan Baca:</t>
        </r>
        <r>
          <rPr>
            <sz val="9"/>
            <color indexed="81"/>
            <rFont val="Tahoma"/>
            <family val="2"/>
          </rPr>
          <t xml:space="preserve">
data from text (page 745)</t>
        </r>
      </text>
    </comment>
    <comment ref="J754" authorId="0" shapeId="0" xr:uid="{E8ADFB21-A5FB-4BD1-9F8F-228415546131}">
      <text>
        <r>
          <rPr>
            <b/>
            <sz val="9"/>
            <color indexed="81"/>
            <rFont val="Tahoma"/>
            <family val="2"/>
          </rPr>
          <t>Juan Baca:</t>
        </r>
        <r>
          <rPr>
            <sz val="9"/>
            <color indexed="81"/>
            <rFont val="Tahoma"/>
            <family val="2"/>
          </rPr>
          <t xml:space="preserve">
Plants used in experiments were grown for 31–40 d including the time for
germination (page 1836)</t>
        </r>
      </text>
    </comment>
    <comment ref="AB754" authorId="0" shapeId="0" xr:uid="{3E3C5F39-461F-45EF-9C92-EDBA6EBBDAA8}">
      <text>
        <r>
          <rPr>
            <b/>
            <sz val="9"/>
            <color indexed="81"/>
            <rFont val="Tahoma"/>
            <family val="2"/>
          </rPr>
          <t>Juan Baca:</t>
        </r>
        <r>
          <rPr>
            <sz val="9"/>
            <color indexed="81"/>
            <rFont val="Tahoma"/>
            <family val="2"/>
          </rPr>
          <t xml:space="preserve">
all data from Table 1</t>
        </r>
      </text>
    </comment>
    <comment ref="J762" authorId="0" shapeId="0" xr:uid="{D7C7D49C-A8BE-49BE-9B09-853F8E36BBBF}">
      <text>
        <r>
          <rPr>
            <b/>
            <sz val="9"/>
            <color indexed="81"/>
            <rFont val="Tahoma"/>
            <family val="2"/>
          </rPr>
          <t>Juan Baca:</t>
        </r>
        <r>
          <rPr>
            <sz val="9"/>
            <color indexed="81"/>
            <rFont val="Tahoma"/>
            <family val="2"/>
          </rPr>
          <t xml:space="preserve">
All measurements were made from days 14–21 after the plants were
transferred to hydroponic solution (page 67) -&gt; actually more than 21 days</t>
        </r>
      </text>
    </comment>
    <comment ref="J765" authorId="0" shapeId="0" xr:uid="{B4D07E68-3142-48C3-B95B-49FE3611360A}">
      <text>
        <r>
          <rPr>
            <b/>
            <sz val="9"/>
            <color indexed="81"/>
            <rFont val="Tahoma"/>
            <family val="2"/>
          </rPr>
          <t>Juan Baca:</t>
        </r>
        <r>
          <rPr>
            <sz val="9"/>
            <color indexed="81"/>
            <rFont val="Tahoma"/>
            <family val="2"/>
          </rPr>
          <t xml:space="preserve">
Plants at the 5-leaf stage were flooded at 09:00 for 24 h (page 47) -&gt; no excat infromation about age</t>
        </r>
      </text>
    </comment>
    <comment ref="J767" authorId="0" shapeId="0" xr:uid="{D15B6BD7-C7D5-441C-86D5-25B7B37081F8}">
      <text>
        <r>
          <rPr>
            <b/>
            <sz val="9"/>
            <color indexed="81"/>
            <rFont val="Tahoma"/>
            <family val="2"/>
          </rPr>
          <t>Juan Baca:</t>
        </r>
        <r>
          <rPr>
            <sz val="9"/>
            <color indexed="81"/>
            <rFont val="Tahoma"/>
            <family val="2"/>
          </rPr>
          <t xml:space="preserve">
After 5 d of sowing,
seedlings were grown hydroponically  during 11 days (page 1071) + x days after treatment</t>
        </r>
      </text>
    </comment>
    <comment ref="J775" authorId="0" shapeId="0" xr:uid="{3965AB42-BC80-4A72-8357-EE9956C536EA}">
      <text>
        <r>
          <rPr>
            <b/>
            <sz val="9"/>
            <color indexed="81"/>
            <rFont val="Tahoma"/>
            <family val="2"/>
          </rPr>
          <t>Juan Baca:</t>
        </r>
        <r>
          <rPr>
            <sz val="9"/>
            <color indexed="81"/>
            <rFont val="Tahoma"/>
            <family val="2"/>
          </rPr>
          <t xml:space="preserve">
page 824: plants grown for about a month</t>
        </r>
      </text>
    </comment>
    <comment ref="K775" authorId="0" shapeId="0" xr:uid="{08741640-4222-4C7A-926D-37F7139967C6}">
      <text>
        <r>
          <rPr>
            <b/>
            <sz val="9"/>
            <color indexed="81"/>
            <rFont val="Tahoma"/>
            <family val="2"/>
          </rPr>
          <t>Juan Baca:</t>
        </r>
        <r>
          <rPr>
            <sz val="9"/>
            <color indexed="81"/>
            <rFont val="Tahoma"/>
            <family val="2"/>
          </rPr>
          <t xml:space="preserve">
plants either grown in a greenhouse or a growth chamber (controlled conditions)
Purpose of the study was to compare HPFM measurements with the previously common ET method</t>
        </r>
      </text>
    </comment>
    <comment ref="AC775" authorId="0" shapeId="0" xr:uid="{A66F7A5D-4BD3-429D-B004-614468C276CC}">
      <text>
        <r>
          <rPr>
            <b/>
            <sz val="9"/>
            <color indexed="81"/>
            <rFont val="Tahoma"/>
            <family val="2"/>
          </rPr>
          <t>Juan Baca:</t>
        </r>
        <r>
          <rPr>
            <sz val="9"/>
            <color indexed="81"/>
            <rFont val="Tahoma"/>
            <family val="2"/>
          </rPr>
          <t xml:space="preserve">
value reported corresponds to root + stem conductance -&gt; so underestimation of root conductance</t>
        </r>
      </text>
    </comment>
    <comment ref="AI775" authorId="0" shapeId="0" xr:uid="{C17F8B0C-338E-4D27-87EE-C64D69ED18F5}">
      <text>
        <r>
          <rPr>
            <b/>
            <sz val="9"/>
            <color indexed="81"/>
            <rFont val="Tahoma"/>
            <family val="2"/>
          </rPr>
          <t>Juan Baca:</t>
        </r>
        <r>
          <rPr>
            <sz val="9"/>
            <color indexed="81"/>
            <rFont val="Tahoma"/>
            <family val="2"/>
          </rPr>
          <t xml:space="preserve">
Leaf area per plant ranged between 0.03 m2 and 0.09 m2 (page 824)</t>
        </r>
      </text>
    </comment>
    <comment ref="B777" authorId="0" shapeId="0" xr:uid="{758C8F6F-C92C-4800-98DD-DC2BE7201534}">
      <text>
        <r>
          <rPr>
            <b/>
            <sz val="9"/>
            <color indexed="81"/>
            <rFont val="Tahoma"/>
            <family val="2"/>
          </rPr>
          <t>Juan Baca:</t>
        </r>
        <r>
          <rPr>
            <sz val="9"/>
            <color indexed="81"/>
            <rFont val="Tahoma"/>
            <family val="2"/>
          </rPr>
          <t xml:space="preserve">
variety kidney bean</t>
        </r>
      </text>
    </comment>
    <comment ref="B783" authorId="0" shapeId="0" xr:uid="{7C52C5B1-3C56-401F-AFDE-977CBDDDD6C1}">
      <text>
        <r>
          <rPr>
            <b/>
            <sz val="9"/>
            <color indexed="81"/>
            <rFont val="Tahoma"/>
            <family val="2"/>
          </rPr>
          <t>Juan Baca:</t>
        </r>
        <r>
          <rPr>
            <sz val="9"/>
            <color indexed="81"/>
            <rFont val="Tahoma"/>
            <family val="2"/>
          </rPr>
          <t xml:space="preserve">
variety kidney bean</t>
        </r>
      </text>
    </comment>
    <comment ref="B787" authorId="0" shapeId="0" xr:uid="{FADCC237-C029-4393-98CE-5D538E59FD13}">
      <text>
        <r>
          <rPr>
            <b/>
            <sz val="9"/>
            <color indexed="81"/>
            <rFont val="Tahoma"/>
            <family val="2"/>
          </rPr>
          <t>Juan Baca:</t>
        </r>
        <r>
          <rPr>
            <sz val="9"/>
            <color indexed="81"/>
            <rFont val="Tahoma"/>
            <family val="2"/>
          </rPr>
          <t xml:space="preserve">
variety kidney bean</t>
        </r>
      </text>
    </comment>
    <comment ref="J788" authorId="0" shapeId="0" xr:uid="{9CA7D015-EAAE-4A44-B903-A53EFE33ADA1}">
      <text>
        <r>
          <rPr>
            <b/>
            <sz val="9"/>
            <color indexed="81"/>
            <rFont val="Tahoma"/>
            <family val="2"/>
          </rPr>
          <t>Juan Baca:</t>
        </r>
        <r>
          <rPr>
            <sz val="9"/>
            <color indexed="81"/>
            <rFont val="Tahoma"/>
            <family val="2"/>
          </rPr>
          <t xml:space="preserve">
2 year old seedling were incoulated and studies 22 months after that (page 306)</t>
        </r>
      </text>
    </comment>
    <comment ref="AB788" authorId="0" shapeId="0" xr:uid="{777AF072-8B8A-4BE7-BA1F-AF3CD572C7B1}">
      <text>
        <r>
          <rPr>
            <b/>
            <sz val="9"/>
            <color indexed="81"/>
            <rFont val="Tahoma"/>
            <family val="2"/>
          </rPr>
          <t>Juan Baca:</t>
        </r>
        <r>
          <rPr>
            <sz val="9"/>
            <color indexed="81"/>
            <rFont val="Tahoma"/>
            <family val="2"/>
          </rPr>
          <t xml:space="preserve">
Kr values from page 309</t>
        </r>
      </text>
    </comment>
    <comment ref="AF788" authorId="0" shapeId="0" xr:uid="{B374F2D9-BA55-4D40-AD84-4DA21C14D81A}">
      <text>
        <r>
          <rPr>
            <b/>
            <sz val="9"/>
            <color indexed="81"/>
            <rFont val="Tahoma"/>
            <family val="2"/>
          </rPr>
          <t>Juan Baca:</t>
        </r>
        <r>
          <rPr>
            <sz val="9"/>
            <color indexed="81"/>
            <rFont val="Tahoma"/>
            <family val="2"/>
          </rPr>
          <t xml:space="preserve">
morphologic parameters extracted from table 1 and page 308</t>
        </r>
      </text>
    </comment>
    <comment ref="J790" authorId="0" shapeId="0" xr:uid="{2C701133-64DC-4330-A22E-A63297386F91}">
      <text>
        <r>
          <rPr>
            <b/>
            <sz val="9"/>
            <color indexed="81"/>
            <rFont val="Tahoma"/>
            <family val="2"/>
          </rPr>
          <t xml:space="preserve">Juan Baca:
</t>
        </r>
        <r>
          <rPr>
            <sz val="9"/>
            <color indexed="81"/>
            <rFont val="Tahoma"/>
            <family val="2"/>
          </rPr>
          <t>7-day old seedlings plus 4 days germination in the dark (page 875)</t>
        </r>
        <r>
          <rPr>
            <sz val="9"/>
            <color indexed="81"/>
            <rFont val="Tahoma"/>
            <family val="2"/>
          </rPr>
          <t xml:space="preserve"> 
  </t>
        </r>
      </text>
    </comment>
    <comment ref="AB790" authorId="0" shapeId="0" xr:uid="{34980852-F116-40E9-B4CB-323AC09DF7A3}">
      <text>
        <r>
          <rPr>
            <b/>
            <sz val="9"/>
            <color indexed="81"/>
            <rFont val="Tahoma"/>
            <family val="2"/>
          </rPr>
          <t>Juan Baca:</t>
        </r>
        <r>
          <rPr>
            <sz val="9"/>
            <color indexed="81"/>
            <rFont val="Tahoma"/>
            <family val="2"/>
          </rPr>
          <t xml:space="preserve">
data from table 1</t>
        </r>
      </text>
    </comment>
    <comment ref="AD790" authorId="0" shapeId="0" xr:uid="{C98786B6-5970-4D93-90C8-F19CEBE88113}">
      <text>
        <r>
          <rPr>
            <b/>
            <sz val="9"/>
            <color indexed="81"/>
            <rFont val="Tahoma"/>
            <family val="2"/>
          </rPr>
          <t>Juan Baca:</t>
        </r>
        <r>
          <rPr>
            <sz val="9"/>
            <color indexed="81"/>
            <rFont val="Tahoma"/>
            <family val="2"/>
          </rPr>
          <t xml:space="preserve">
data from text (page 876)</t>
        </r>
      </text>
    </comment>
    <comment ref="J802" authorId="0" shapeId="0" xr:uid="{DA8E7743-86A0-45EE-8170-E6736D302F51}">
      <text>
        <r>
          <rPr>
            <b/>
            <sz val="9"/>
            <color indexed="81"/>
            <rFont val="Tahoma"/>
            <family val="2"/>
          </rPr>
          <t>Juan Baca:</t>
        </r>
        <r>
          <rPr>
            <sz val="9"/>
            <color indexed="81"/>
            <rFont val="Tahoma"/>
            <family val="2"/>
          </rPr>
          <t xml:space="preserve">
 Plants employed in experiments were grown
either in hydroponic or aeroponic culture for 7 d (page 223) + 4 d germination in the dark</t>
        </r>
      </text>
    </comment>
    <comment ref="AB802" authorId="0" shapeId="0" xr:uid="{FB07861C-C2FA-402C-94DA-86DF06E24D06}">
      <text>
        <r>
          <rPr>
            <b/>
            <sz val="9"/>
            <color indexed="81"/>
            <rFont val="Tahoma"/>
            <family val="2"/>
          </rPr>
          <t>Juan Baca:</t>
        </r>
        <r>
          <rPr>
            <sz val="9"/>
            <color indexed="81"/>
            <rFont val="Tahoma"/>
            <family val="2"/>
          </rPr>
          <t xml:space="preserve">
data from table 1 (mean values)</t>
        </r>
      </text>
    </comment>
    <comment ref="AD802" authorId="0" shapeId="0" xr:uid="{B3FB4102-C3C8-4D84-B2D2-BCCF59EA3779}">
      <text>
        <r>
          <rPr>
            <b/>
            <sz val="9"/>
            <color indexed="81"/>
            <rFont val="Tahoma"/>
            <family val="2"/>
          </rPr>
          <t>Juan Baca:</t>
        </r>
        <r>
          <rPr>
            <sz val="9"/>
            <color indexed="81"/>
            <rFont val="Tahoma"/>
            <family val="2"/>
          </rPr>
          <t xml:space="preserve">
data from text (page 223)</t>
        </r>
      </text>
    </comment>
    <comment ref="J806" authorId="0" shapeId="0" xr:uid="{FBB63A94-BCA2-472B-AFA4-24EC965A56F0}">
      <text>
        <r>
          <rPr>
            <b/>
            <sz val="9"/>
            <color indexed="81"/>
            <rFont val="Tahoma"/>
            <family val="2"/>
          </rPr>
          <t>Juan Baca:</t>
        </r>
        <r>
          <rPr>
            <sz val="9"/>
            <color indexed="81"/>
            <rFont val="Tahoma"/>
            <family val="2"/>
          </rPr>
          <t xml:space="preserve">
Experiments were conducted on 6–9-month-old oak saplings (page 1256)</t>
        </r>
      </text>
    </comment>
    <comment ref="W806" authorId="0" shapeId="0" xr:uid="{BFB89BE3-C22C-4C88-A925-EDEE1D5E3F08}">
      <text>
        <r>
          <rPr>
            <b/>
            <sz val="9"/>
            <color indexed="81"/>
            <rFont val="Tahoma"/>
            <family val="2"/>
          </rPr>
          <t>Juan Baca:</t>
        </r>
        <r>
          <rPr>
            <sz val="9"/>
            <color indexed="81"/>
            <rFont val="Tahoma"/>
            <family val="2"/>
          </rPr>
          <t xml:space="preserve">
data from text (page 1257)</t>
        </r>
      </text>
    </comment>
    <comment ref="J807" authorId="0" shapeId="0" xr:uid="{47A6972C-5A61-4EF1-90BE-BB4BF5CD8468}">
      <text>
        <r>
          <rPr>
            <b/>
            <sz val="9"/>
            <color indexed="81"/>
            <rFont val="Tahoma"/>
            <family val="2"/>
          </rPr>
          <t>Juan Baca:</t>
        </r>
        <r>
          <rPr>
            <sz val="9"/>
            <color indexed="81"/>
            <rFont val="Tahoma"/>
            <family val="2"/>
          </rPr>
          <t xml:space="preserve">
one-year old trembling aspen seedlings grown for additional 1.5 months in solution in a growth chamber (pages 939-940)</t>
        </r>
      </text>
    </comment>
    <comment ref="K807" authorId="0" shapeId="0" xr:uid="{2F6A9F06-9BF4-491E-8BCC-2E9F7B18F142}">
      <text>
        <r>
          <rPr>
            <b/>
            <sz val="9"/>
            <color indexed="81"/>
            <rFont val="Tahoma"/>
            <family val="2"/>
          </rPr>
          <t>Juan Baca:</t>
        </r>
        <r>
          <rPr>
            <sz val="9"/>
            <color indexed="81"/>
            <rFont val="Tahoma"/>
            <family val="2"/>
          </rPr>
          <t xml:space="preserve">
AQP inhibition achieved by applying mercuric chloride</t>
        </r>
      </text>
    </comment>
    <comment ref="AB807" authorId="0" shapeId="0" xr:uid="{6D4BA46B-C9E5-44AD-9786-1F7A918BD1F8}">
      <text>
        <r>
          <rPr>
            <b/>
            <sz val="9"/>
            <color indexed="81"/>
            <rFont val="Tahoma"/>
            <family val="2"/>
          </rPr>
          <t>Juan Baca:</t>
        </r>
        <r>
          <rPr>
            <sz val="9"/>
            <color indexed="81"/>
            <rFont val="Tahoma"/>
            <family val="2"/>
          </rPr>
          <t xml:space="preserve">
data from text (page 942)</t>
        </r>
      </text>
    </comment>
    <comment ref="J809" authorId="0" shapeId="0" xr:uid="{32979E20-D7C7-4FCF-AAD8-F092C3F5375F}">
      <text>
        <r>
          <rPr>
            <b/>
            <sz val="9"/>
            <color indexed="81"/>
            <rFont val="Tahoma"/>
            <family val="2"/>
          </rPr>
          <t>Juan Baca:</t>
        </r>
        <r>
          <rPr>
            <sz val="9"/>
            <color indexed="81"/>
            <rFont val="Tahoma"/>
            <family val="2"/>
          </rPr>
          <t xml:space="preserve">
Details of age for each species is given in page (202)</t>
        </r>
      </text>
    </comment>
    <comment ref="AB809" authorId="0" shapeId="0" xr:uid="{5ECC2329-F51F-4FFF-8076-F8C9975DA3AF}">
      <text>
        <r>
          <rPr>
            <b/>
            <sz val="9"/>
            <color indexed="81"/>
            <rFont val="Tahoma"/>
            <family val="2"/>
          </rPr>
          <t>Juan Baca:</t>
        </r>
        <r>
          <rPr>
            <sz val="9"/>
            <color indexed="81"/>
            <rFont val="Tahoma"/>
            <family val="2"/>
          </rPr>
          <t xml:space="preserve">
data from table 1</t>
        </r>
      </text>
    </comment>
    <comment ref="J816" authorId="0" shapeId="0" xr:uid="{F3919A74-B8F3-4B85-B8F7-A1B741A61E76}">
      <text>
        <r>
          <rPr>
            <b/>
            <sz val="9"/>
            <color indexed="81"/>
            <rFont val="Tahoma"/>
            <family val="2"/>
          </rPr>
          <t>Juan Baca:</t>
        </r>
        <r>
          <rPr>
            <sz val="9"/>
            <color indexed="81"/>
            <rFont val="Tahoma"/>
            <family val="2"/>
          </rPr>
          <t xml:space="preserve">
The exudation experiments were performed with 20-d-old plants (page 1608)</t>
        </r>
      </text>
    </comment>
    <comment ref="K816" authorId="0" shapeId="0" xr:uid="{F191AE62-1C97-406A-B166-22672DFBCBE7}">
      <text>
        <r>
          <rPr>
            <b/>
            <sz val="9"/>
            <color indexed="81"/>
            <rFont val="Tahoma"/>
            <family val="2"/>
          </rPr>
          <t>Juan Baca:</t>
        </r>
        <r>
          <rPr>
            <sz val="9"/>
            <color indexed="81"/>
            <rFont val="Tahoma"/>
            <family val="2"/>
          </rPr>
          <t xml:space="preserve">
AQP inhibition achieved by applying mercuric chloride</t>
        </r>
      </text>
    </comment>
    <comment ref="X816" authorId="0" shapeId="0" xr:uid="{BEF1116C-54BC-48CB-960A-E9352634B2EF}">
      <text>
        <r>
          <rPr>
            <b/>
            <sz val="9"/>
            <color indexed="81"/>
            <rFont val="Tahoma"/>
            <family val="2"/>
          </rPr>
          <t>Juan Baca:</t>
        </r>
        <r>
          <rPr>
            <sz val="9"/>
            <color indexed="81"/>
            <rFont val="Tahoma"/>
            <family val="2"/>
          </rPr>
          <t xml:space="preserve">
data from table 3</t>
        </r>
      </text>
    </comment>
    <comment ref="J818" authorId="0" shapeId="0" xr:uid="{B1ABBE25-E9AB-4BB2-8489-B92AA1C21E2F}">
      <text>
        <r>
          <rPr>
            <b/>
            <sz val="9"/>
            <color indexed="81"/>
            <rFont val="Tahoma"/>
            <family val="2"/>
          </rPr>
          <t>Juan Baca:</t>
        </r>
        <r>
          <rPr>
            <sz val="9"/>
            <color indexed="81"/>
            <rFont val="Tahoma"/>
            <family val="2"/>
          </rPr>
          <t xml:space="preserve">
Experiments were replicated on five to ten 3-year-old seedlings of each species (page 372)</t>
        </r>
      </text>
    </comment>
    <comment ref="AC818" authorId="0" shapeId="0" xr:uid="{98BBC3C1-4AF3-449C-A4F3-582C3806CCE5}">
      <text>
        <r>
          <rPr>
            <b/>
            <sz val="9"/>
            <color indexed="81"/>
            <rFont val="Tahoma"/>
            <family val="2"/>
          </rPr>
          <t>Juan Baca:</t>
        </r>
        <r>
          <rPr>
            <sz val="9"/>
            <color indexed="81"/>
            <rFont val="Tahoma"/>
            <family val="2"/>
          </rPr>
          <t xml:space="preserve">
data from text (page 374)</t>
        </r>
      </text>
    </comment>
    <comment ref="AD818" authorId="0" shapeId="0" xr:uid="{C9F4F49A-A8B5-4D46-9B76-32B294B52A3B}">
      <text>
        <r>
          <rPr>
            <b/>
            <sz val="9"/>
            <color indexed="81"/>
            <rFont val="Tahoma"/>
            <family val="2"/>
          </rPr>
          <t>Juan Baca:</t>
        </r>
        <r>
          <rPr>
            <sz val="9"/>
            <color indexed="81"/>
            <rFont val="Tahoma"/>
            <family val="2"/>
          </rPr>
          <t xml:space="preserve">
morphologic data from table 1</t>
        </r>
      </text>
    </comment>
    <comment ref="J825" authorId="0" shapeId="0" xr:uid="{C99DE670-1ED1-4810-89E6-FF00744A1F29}">
      <text>
        <r>
          <rPr>
            <b/>
            <sz val="9"/>
            <color indexed="81"/>
            <rFont val="Tahoma"/>
            <family val="2"/>
          </rPr>
          <t>Juan Baca:</t>
        </r>
        <r>
          <rPr>
            <sz val="9"/>
            <color indexed="81"/>
            <rFont val="Tahoma"/>
            <family val="2"/>
          </rPr>
          <t xml:space="preserve">
5-7 year old trees (page 486)</t>
        </r>
      </text>
    </comment>
    <comment ref="K825" authorId="0" shapeId="0" xr:uid="{B07549A3-CFE0-4EF8-A51F-B7F0877A54B0}">
      <text>
        <r>
          <rPr>
            <b/>
            <sz val="9"/>
            <color indexed="81"/>
            <rFont val="Tahoma"/>
            <family val="2"/>
          </rPr>
          <t>Juan Baca:</t>
        </r>
        <r>
          <rPr>
            <sz val="9"/>
            <color indexed="81"/>
            <rFont val="Tahoma"/>
            <family val="2"/>
          </rPr>
          <t xml:space="preserve">
plants either grown in poots or form the field
in the case of the field trees, also possible variation in different spring/summer months was measured</t>
        </r>
      </text>
    </comment>
    <comment ref="AC825" authorId="0" shapeId="0" xr:uid="{3E307CC3-2553-43ED-BE16-CFE3ED2BCB7E}">
      <text>
        <r>
          <rPr>
            <b/>
            <sz val="9"/>
            <color indexed="81"/>
            <rFont val="Tahoma"/>
            <family val="2"/>
          </rPr>
          <t>Juan Baca:</t>
        </r>
        <r>
          <rPr>
            <sz val="9"/>
            <color indexed="81"/>
            <rFont val="Tahoma"/>
            <family val="2"/>
          </rPr>
          <t xml:space="preserve">
values from page 488</t>
        </r>
      </text>
    </comment>
    <comment ref="AI825" authorId="0" shapeId="0" xr:uid="{856E30BB-ABCE-4647-812B-B29B814F813E}">
      <text>
        <r>
          <rPr>
            <b/>
            <sz val="9"/>
            <color indexed="81"/>
            <rFont val="Tahoma"/>
            <family val="2"/>
          </rPr>
          <t>Juan Baca:</t>
        </r>
        <r>
          <rPr>
            <sz val="9"/>
            <color indexed="81"/>
            <rFont val="Tahoma"/>
            <family val="2"/>
          </rPr>
          <t xml:space="preserve">
morphological data from table 1</t>
        </r>
      </text>
    </comment>
    <comment ref="J828" authorId="0" shapeId="0" xr:uid="{D7131A05-71E8-4591-A953-0936029538C9}">
      <text>
        <r>
          <rPr>
            <b/>
            <sz val="9"/>
            <color indexed="81"/>
            <rFont val="Tahoma"/>
            <family val="2"/>
          </rPr>
          <t>Juan Baca:</t>
        </r>
        <r>
          <rPr>
            <sz val="9"/>
            <color indexed="81"/>
            <rFont val="Tahoma"/>
            <family val="2"/>
          </rPr>
          <t xml:space="preserve">
3 year old potted seedlings (page 487)</t>
        </r>
      </text>
    </comment>
    <comment ref="AC828" authorId="0" shapeId="0" xr:uid="{94E61FB8-1C93-4F24-BC72-C6CEE990A5BF}">
      <text>
        <r>
          <rPr>
            <b/>
            <sz val="9"/>
            <color indexed="81"/>
            <rFont val="Tahoma"/>
            <family val="2"/>
          </rPr>
          <t>Juan Baca:</t>
        </r>
        <r>
          <rPr>
            <sz val="9"/>
            <color indexed="81"/>
            <rFont val="Tahoma"/>
            <family val="2"/>
          </rPr>
          <t xml:space="preserve">
Kr data for potted tress from page 489</t>
        </r>
      </text>
    </comment>
    <comment ref="J829" authorId="0" shapeId="0" xr:uid="{58778229-1FEF-4DFD-AF81-C64CF2F5195F}">
      <text>
        <r>
          <rPr>
            <b/>
            <sz val="9"/>
            <color indexed="81"/>
            <rFont val="Tahoma"/>
            <family val="2"/>
          </rPr>
          <t>Juan Baca:</t>
        </r>
        <r>
          <rPr>
            <sz val="9"/>
            <color indexed="81"/>
            <rFont val="Tahoma"/>
            <family val="2"/>
          </rPr>
          <t xml:space="preserve">
The plants were grown for 1 year within the two CO2 treatment rooms (page 326)</t>
        </r>
      </text>
    </comment>
    <comment ref="Y829" authorId="0" shapeId="0" xr:uid="{0C852ABB-A558-4CDF-B326-AA055297FFFE}">
      <text>
        <r>
          <rPr>
            <b/>
            <sz val="9"/>
            <color indexed="81"/>
            <rFont val="Tahoma"/>
            <family val="2"/>
          </rPr>
          <t>Juan Baca:</t>
        </r>
        <r>
          <rPr>
            <sz val="9"/>
            <color indexed="81"/>
            <rFont val="Tahoma"/>
            <family val="2"/>
          </rPr>
          <t xml:space="preserve">
data from table 1</t>
        </r>
      </text>
    </comment>
    <comment ref="AF829" authorId="0" shapeId="0" xr:uid="{6E41A4F4-FEC1-47CD-A56F-E1DD79A02532}">
      <text>
        <r>
          <rPr>
            <b/>
            <sz val="9"/>
            <color indexed="81"/>
            <rFont val="Tahoma"/>
            <family val="2"/>
          </rPr>
          <t>Juan Baca:</t>
        </r>
        <r>
          <rPr>
            <sz val="9"/>
            <color indexed="81"/>
            <rFont val="Tahoma"/>
            <family val="2"/>
          </rPr>
          <t xml:space="preserve">
morphological data from text (page 327)</t>
        </r>
      </text>
    </comment>
    <comment ref="J831" authorId="0" shapeId="0" xr:uid="{575FC55D-75D7-4E84-96E4-76AD4EE31DF1}">
      <text>
        <r>
          <rPr>
            <b/>
            <sz val="9"/>
            <color indexed="81"/>
            <rFont val="Tahoma"/>
            <family val="2"/>
          </rPr>
          <t>Juan Baca:</t>
        </r>
        <r>
          <rPr>
            <sz val="9"/>
            <color indexed="81"/>
            <rFont val="Tahoma"/>
            <family val="2"/>
          </rPr>
          <t xml:space="preserve">
Plants were grown for 37 d until they had approximately six to eight leaves (page 326)</t>
        </r>
      </text>
    </comment>
    <comment ref="J833" authorId="0" shapeId="0" xr:uid="{BC46DF95-FEEB-4E8E-A827-6003C6F00010}">
      <text>
        <r>
          <rPr>
            <b/>
            <sz val="9"/>
            <color indexed="81"/>
            <rFont val="Tahoma"/>
            <family val="2"/>
          </rPr>
          <t>Juan Baca:</t>
        </r>
        <r>
          <rPr>
            <sz val="9"/>
            <color indexed="81"/>
            <rFont val="Tahoma"/>
            <family val="2"/>
          </rPr>
          <t xml:space="preserve">
no clear infromation about age of plants</t>
        </r>
      </text>
    </comment>
    <comment ref="K833" authorId="0" shapeId="0" xr:uid="{26A754AF-38A4-46E4-802C-6B06A1B919D3}">
      <text>
        <r>
          <rPr>
            <b/>
            <sz val="9"/>
            <color indexed="81"/>
            <rFont val="Tahoma"/>
            <family val="2"/>
          </rPr>
          <t>Juan Baca:</t>
        </r>
        <r>
          <rPr>
            <sz val="9"/>
            <color indexed="81"/>
            <rFont val="Tahoma"/>
            <family val="2"/>
          </rPr>
          <t xml:space="preserve">
Transpiration rates refer to ambient or reduced conditions whereby
the reduction was achieved by placing transparent covers over the plants (Table 1)</t>
        </r>
      </text>
    </comment>
    <comment ref="AB833" authorId="0" shapeId="0" xr:uid="{D862B2AA-0ED1-4412-BEF6-BE6038CD1065}">
      <text>
        <r>
          <rPr>
            <b/>
            <sz val="9"/>
            <color indexed="81"/>
            <rFont val="Tahoma"/>
            <family val="2"/>
          </rPr>
          <t>Juan Baca:</t>
        </r>
        <r>
          <rPr>
            <sz val="9"/>
            <color indexed="81"/>
            <rFont val="Tahoma"/>
            <family val="2"/>
          </rPr>
          <t xml:space="preserve">
Data from Table 2</t>
        </r>
      </text>
    </comment>
    <comment ref="AD833" authorId="0" shapeId="0" xr:uid="{1DAB296D-F425-4430-AE88-9763A0F9D64D}">
      <text>
        <r>
          <rPr>
            <b/>
            <sz val="9"/>
            <color indexed="81"/>
            <rFont val="Tahoma"/>
            <family val="2"/>
          </rPr>
          <t>Juan Baca:</t>
        </r>
        <r>
          <rPr>
            <sz val="9"/>
            <color indexed="81"/>
            <rFont val="Tahoma"/>
            <family val="2"/>
          </rPr>
          <t xml:space="preserve">
the mean root surface area was Aroot = (0.0118 
0.004) m2 (n = 31 root systems) (page 53)</t>
        </r>
      </text>
    </comment>
    <comment ref="J843" authorId="0" shapeId="0" xr:uid="{FCF0ED17-7AA6-405B-A46B-92CBFD9A76FB}">
      <text>
        <r>
          <rPr>
            <b/>
            <sz val="9"/>
            <color indexed="81"/>
            <rFont val="Tahoma"/>
            <family val="2"/>
          </rPr>
          <t>Juan Baca:</t>
        </r>
        <r>
          <rPr>
            <sz val="9"/>
            <color indexed="81"/>
            <rFont val="Tahoma"/>
            <family val="2"/>
          </rPr>
          <t xml:space="preserve">
12 days germination if petri dishes + 25 days in a growth chamber + x DAT</t>
        </r>
      </text>
    </comment>
    <comment ref="K847" authorId="0" shapeId="0" xr:uid="{5D36D3FC-0AE6-47AF-B949-25AD89F54065}">
      <text>
        <r>
          <rPr>
            <b/>
            <sz val="9"/>
            <color indexed="81"/>
            <rFont val="Tahoma"/>
            <family val="2"/>
          </rPr>
          <t>Juan Baca:</t>
        </r>
        <r>
          <rPr>
            <sz val="9"/>
            <color indexed="81"/>
            <rFont val="Tahoma"/>
            <family val="2"/>
          </rPr>
          <t xml:space="preserve">
AQP inhibition achieved by applying mercuric chloride</t>
        </r>
      </text>
    </comment>
    <comment ref="AB849" authorId="0" shapeId="0" xr:uid="{E2779E35-5AED-4C24-A933-B2B99C015325}">
      <text>
        <r>
          <rPr>
            <b/>
            <sz val="9"/>
            <color indexed="81"/>
            <rFont val="Tahoma"/>
            <family val="2"/>
          </rPr>
          <t>Juan Baca:</t>
        </r>
        <r>
          <rPr>
            <sz val="9"/>
            <color indexed="81"/>
            <rFont val="Tahoma"/>
            <family val="2"/>
          </rPr>
          <t xml:space="preserve">
all data from Table 1</t>
        </r>
      </text>
    </comment>
    <comment ref="J863" authorId="0" shapeId="0" xr:uid="{31349192-7567-4FA5-9E81-9D7A72686157}">
      <text>
        <r>
          <rPr>
            <b/>
            <sz val="9"/>
            <color indexed="81"/>
            <rFont val="Tahoma"/>
            <family val="2"/>
          </rPr>
          <t>Juan Baca:</t>
        </r>
        <r>
          <rPr>
            <sz val="9"/>
            <color indexed="81"/>
            <rFont val="Tahoma"/>
            <family val="2"/>
          </rPr>
          <t xml:space="preserve">
measurements every 4-7 weeks at ages 4-16 months</t>
        </r>
      </text>
    </comment>
    <comment ref="J868" authorId="0" shapeId="0" xr:uid="{5A6049F9-E072-47E3-ABCC-25E07DF1D89B}">
      <text>
        <r>
          <rPr>
            <b/>
            <sz val="9"/>
            <color indexed="81"/>
            <rFont val="Tahoma"/>
            <family val="2"/>
          </rPr>
          <t>Juan Baca:</t>
        </r>
        <r>
          <rPr>
            <sz val="9"/>
            <color indexed="81"/>
            <rFont val="Tahoma"/>
            <family val="2"/>
          </rPr>
          <t xml:space="preserve">
Experiments were conducted on twenty 4-year-old potted seedlings of each of the four species</t>
        </r>
      </text>
    </comment>
    <comment ref="J880" authorId="0" shapeId="0" xr:uid="{546F18E5-7C2A-410A-B295-49605488F640}">
      <text>
        <r>
          <rPr>
            <b/>
            <sz val="9"/>
            <color indexed="81"/>
            <rFont val="Tahoma"/>
            <family val="2"/>
          </rPr>
          <t>Juan Baca:</t>
        </r>
        <r>
          <rPr>
            <sz val="9"/>
            <color indexed="81"/>
            <rFont val="Tahoma"/>
            <family val="2"/>
          </rPr>
          <t xml:space="preserve">
Experiments were conducted on twenty 4-year old potted seedlings of each of the six species mentioned above. (page 98)</t>
        </r>
      </text>
    </comment>
    <comment ref="J898" authorId="0" shapeId="0" xr:uid="{3295FD85-1A46-4432-AABC-8F9801075A69}">
      <text>
        <r>
          <rPr>
            <b/>
            <sz val="9"/>
            <color indexed="81"/>
            <rFont val="Tahoma"/>
            <family val="2"/>
          </rPr>
          <t>Juan Baca:</t>
        </r>
        <r>
          <rPr>
            <sz val="9"/>
            <color indexed="81"/>
            <rFont val="Tahoma"/>
            <family val="2"/>
          </rPr>
          <t xml:space="preserve">
Experiments were conducted on 300 3-yr-old potted seedlings of O. oleaster (page 26)</t>
        </r>
      </text>
    </comment>
    <comment ref="AC898" authorId="0" shapeId="0" xr:uid="{42D7CA2C-93E5-477D-AC23-D68589E742AB}">
      <text>
        <r>
          <rPr>
            <b/>
            <sz val="9"/>
            <color indexed="81"/>
            <rFont val="Tahoma"/>
            <family val="2"/>
          </rPr>
          <t>Juan Baca:</t>
        </r>
        <r>
          <rPr>
            <sz val="9"/>
            <color indexed="81"/>
            <rFont val="Tahoma"/>
            <family val="2"/>
          </rPr>
          <t xml:space="preserve">
data from text (page 27)</t>
        </r>
      </text>
    </comment>
    <comment ref="AI898" authorId="0" shapeId="0" xr:uid="{3CE2E50C-C1D3-4B04-886A-AFB1B3B4F43E}">
      <text>
        <r>
          <rPr>
            <b/>
            <sz val="9"/>
            <color indexed="81"/>
            <rFont val="Tahoma"/>
            <family val="2"/>
          </rPr>
          <t>Juan Baca:</t>
        </r>
        <r>
          <rPr>
            <sz val="9"/>
            <color indexed="81"/>
            <rFont val="Tahoma"/>
            <family val="2"/>
          </rPr>
          <t xml:space="preserve">
Data from Table 1</t>
        </r>
      </text>
    </comment>
    <comment ref="J900" authorId="0" shapeId="0" xr:uid="{520CE28A-4541-4807-8AAC-269381C64869}">
      <text>
        <r>
          <rPr>
            <b/>
            <sz val="9"/>
            <color indexed="81"/>
            <rFont val="Tahoma"/>
            <family val="2"/>
          </rPr>
          <t>Juan Baca:</t>
        </r>
        <r>
          <rPr>
            <sz val="9"/>
            <color indexed="81"/>
            <rFont val="Tahoma"/>
            <family val="2"/>
          </rPr>
          <t xml:space="preserve">
5 week-old plants trated during 7 days</t>
        </r>
      </text>
    </comment>
    <comment ref="Y900" authorId="0" shapeId="0" xr:uid="{814180B1-60EC-46F3-AEE5-BC7D12D9D61B}">
      <text>
        <r>
          <rPr>
            <b/>
            <sz val="9"/>
            <color indexed="81"/>
            <rFont val="Tahoma"/>
            <family val="2"/>
          </rPr>
          <t>Juan Baca:</t>
        </r>
        <r>
          <rPr>
            <sz val="9"/>
            <color indexed="81"/>
            <rFont val="Tahoma"/>
            <family val="2"/>
          </rPr>
          <t xml:space="preserve">
data from table 1</t>
        </r>
      </text>
    </comment>
    <comment ref="J904" authorId="0" shapeId="0" xr:uid="{B43280C8-C002-40FD-A7B3-491A7B14247A}">
      <text>
        <r>
          <rPr>
            <b/>
            <sz val="9"/>
            <color indexed="81"/>
            <rFont val="Tahoma"/>
            <family val="2"/>
          </rPr>
          <t>Juan Baca:</t>
        </r>
        <r>
          <rPr>
            <sz val="9"/>
            <color indexed="81"/>
            <rFont val="Tahoma"/>
            <family val="2"/>
          </rPr>
          <t xml:space="preserve">
2 months grown in the greenhouse + 14 days of drought treatment (page 334)</t>
        </r>
      </text>
    </comment>
    <comment ref="AB904" authorId="0" shapeId="0" xr:uid="{E9F00488-BA24-44B6-A40D-FE25640ECCC8}">
      <text>
        <r>
          <rPr>
            <b/>
            <sz val="9"/>
            <color indexed="81"/>
            <rFont val="Tahoma"/>
            <family val="2"/>
          </rPr>
          <t>Juan Baca:</t>
        </r>
        <r>
          <rPr>
            <sz val="9"/>
            <color indexed="81"/>
            <rFont val="Tahoma"/>
            <family val="2"/>
          </rPr>
          <t xml:space="preserve">
data from text (page 335)</t>
        </r>
      </text>
    </comment>
    <comment ref="J906" authorId="0" shapeId="0" xr:uid="{013584AF-F861-4DE3-A3AF-16736543BBF4}">
      <text>
        <r>
          <rPr>
            <b/>
            <sz val="9"/>
            <color indexed="81"/>
            <rFont val="Tahoma"/>
            <family val="2"/>
          </rPr>
          <t>Juan Baca:</t>
        </r>
        <r>
          <rPr>
            <sz val="9"/>
            <color indexed="81"/>
            <rFont val="Tahoma"/>
            <family val="2"/>
          </rPr>
          <t xml:space="preserve">
no clear infromatiomn about age -&gt; seedlings less than 2 years old</t>
        </r>
      </text>
    </comment>
    <comment ref="AC906" authorId="0" shapeId="0" xr:uid="{69D42BCA-DD0B-4D19-B0F6-0C9C492A6855}">
      <text>
        <r>
          <rPr>
            <b/>
            <sz val="9"/>
            <color indexed="81"/>
            <rFont val="Tahoma"/>
            <family val="2"/>
          </rPr>
          <t>Juan Baca:</t>
        </r>
        <r>
          <rPr>
            <sz val="9"/>
            <color indexed="81"/>
            <rFont val="Tahoma"/>
            <family val="2"/>
          </rPr>
          <t xml:space="preserve">
data from table 2</t>
        </r>
      </text>
    </comment>
    <comment ref="J907" authorId="0" shapeId="0" xr:uid="{84BDA6BD-DA41-4E63-ABA6-15195E7C03D9}">
      <text>
        <r>
          <rPr>
            <b/>
            <sz val="9"/>
            <color indexed="81"/>
            <rFont val="Tahoma"/>
            <family val="2"/>
          </rPr>
          <t>Juan Baca:</t>
        </r>
        <r>
          <rPr>
            <sz val="9"/>
            <color indexed="81"/>
            <rFont val="Tahoma"/>
            <family val="2"/>
          </rPr>
          <t xml:space="preserve">
Plants were used for
determination of root system hydraulic conductance (K~) at
to 8 wk after emergence (page 1582)</t>
        </r>
      </text>
    </comment>
    <comment ref="J916" authorId="0" shapeId="0" xr:uid="{22A43E35-D00B-4952-AF99-84E97C5ECBA8}">
      <text>
        <r>
          <rPr>
            <b/>
            <sz val="9"/>
            <color indexed="81"/>
            <rFont val="Tahoma"/>
            <family val="2"/>
          </rPr>
          <t>Juan Baca:</t>
        </r>
        <r>
          <rPr>
            <sz val="9"/>
            <color indexed="81"/>
            <rFont val="Tahoma"/>
            <family val="2"/>
          </rPr>
          <t xml:space="preserve">
age data presented in tables 1 and 2</t>
        </r>
      </text>
    </comment>
    <comment ref="L916" authorId="0" shapeId="0" xr:uid="{600A7692-8511-418A-91F9-29DE8A73A8A9}">
      <text>
        <r>
          <rPr>
            <b/>
            <sz val="9"/>
            <color indexed="81"/>
            <rFont val="Tahoma"/>
            <family val="2"/>
          </rPr>
          <t>Juan Baca:</t>
        </r>
        <r>
          <rPr>
            <sz val="9"/>
            <color indexed="81"/>
            <rFont val="Tahoma"/>
            <family val="2"/>
          </rPr>
          <t xml:space="preserve">
the 1mM N concentration is assumed to be low N, while 5mM assumed to be sufficient (Control)</t>
        </r>
      </text>
    </comment>
    <comment ref="W916" authorId="0" shapeId="0" xr:uid="{34CA0053-528D-4578-B4FD-0364668867D2}">
      <text>
        <r>
          <rPr>
            <b/>
            <sz val="9"/>
            <color indexed="81"/>
            <rFont val="Tahoma"/>
            <family val="2"/>
          </rPr>
          <t>Juan Baca:</t>
        </r>
        <r>
          <rPr>
            <sz val="9"/>
            <color indexed="81"/>
            <rFont val="Tahoma"/>
            <family val="2"/>
          </rPr>
          <t xml:space="preserve">
conductance/conductivity data from table 2</t>
        </r>
      </text>
    </comment>
    <comment ref="AB916" authorId="0" shapeId="0" xr:uid="{84FE19D6-4AEE-4725-B9CF-CD16F7877B2E}">
      <text>
        <r>
          <rPr>
            <b/>
            <sz val="9"/>
            <color indexed="81"/>
            <rFont val="Tahoma"/>
            <family val="2"/>
          </rPr>
          <t>Juan Baca:</t>
        </r>
        <r>
          <rPr>
            <sz val="9"/>
            <color indexed="81"/>
            <rFont val="Tahoma"/>
            <family val="2"/>
          </rPr>
          <t xml:space="preserve">
hydraulic properties data from table 2</t>
        </r>
      </text>
    </comment>
    <comment ref="AD916" authorId="0" shapeId="0" xr:uid="{B034C8B7-1B90-4712-AC5D-A1B5E230899A}">
      <text>
        <r>
          <rPr>
            <b/>
            <sz val="9"/>
            <color indexed="81"/>
            <rFont val="Tahoma"/>
            <family val="2"/>
          </rPr>
          <t>Juan Baca:</t>
        </r>
        <r>
          <rPr>
            <sz val="9"/>
            <color indexed="81"/>
            <rFont val="Tahoma"/>
            <family val="2"/>
          </rPr>
          <t xml:space="preserve">
morphological data from table 1</t>
        </r>
      </text>
    </comment>
    <comment ref="J932" authorId="0" shapeId="0" xr:uid="{970965F5-C8E5-48DE-AF51-DAB934F3C8EA}">
      <text>
        <r>
          <rPr>
            <b/>
            <sz val="9"/>
            <color indexed="81"/>
            <rFont val="Tahoma"/>
            <family val="2"/>
          </rPr>
          <t>Juan Baca:</t>
        </r>
        <r>
          <rPr>
            <sz val="9"/>
            <color indexed="81"/>
            <rFont val="Tahoma"/>
            <family val="2"/>
          </rPr>
          <t xml:space="preserve">
no clear information about age; young plants</t>
        </r>
      </text>
    </comment>
    <comment ref="Y932" authorId="0" shapeId="0" xr:uid="{6801F180-D702-43A5-B1A2-4B86D5B4FF5F}">
      <text>
        <r>
          <rPr>
            <b/>
            <sz val="9"/>
            <color indexed="81"/>
            <rFont val="Tahoma"/>
            <family val="2"/>
          </rPr>
          <t>Juan Baca:</t>
        </r>
        <r>
          <rPr>
            <sz val="9"/>
            <color indexed="81"/>
            <rFont val="Tahoma"/>
            <family val="2"/>
          </rPr>
          <t xml:space="preserve">
data from table 1; no significant differences were observed between the cultivars (page 564)</t>
        </r>
      </text>
    </comment>
    <comment ref="AF932" authorId="0" shapeId="0" xr:uid="{D75EDB96-AC5F-4A8B-BA7B-69A5DF6C0955}">
      <text>
        <r>
          <rPr>
            <b/>
            <sz val="9"/>
            <color indexed="81"/>
            <rFont val="Tahoma"/>
            <family val="2"/>
          </rPr>
          <t>Juan Baca:</t>
        </r>
        <r>
          <rPr>
            <sz val="9"/>
            <color indexed="81"/>
            <rFont val="Tahoma"/>
            <family val="2"/>
          </rPr>
          <t xml:space="preserve">
data from table 2</t>
        </r>
      </text>
    </comment>
    <comment ref="J936" authorId="0" shapeId="0" xr:uid="{D935FC34-0FD6-41DC-B570-157BAAADA117}">
      <text>
        <r>
          <rPr>
            <b/>
            <sz val="9"/>
            <color indexed="81"/>
            <rFont val="Tahoma"/>
            <family val="2"/>
          </rPr>
          <t>Juan Baca:</t>
        </r>
        <r>
          <rPr>
            <sz val="9"/>
            <color indexed="81"/>
            <rFont val="Tahoma"/>
            <family val="2"/>
          </rPr>
          <t xml:space="preserve">
Cherry (Prunus avium L.) seeds were germinated in
spring 1993 and grown for two years in a greenhouse at the University of Edinburgh (page 299)</t>
        </r>
      </text>
    </comment>
    <comment ref="W936" authorId="0" shapeId="0" xr:uid="{19FE5CE8-795A-4413-A5BB-9C57C53FECEF}">
      <text>
        <r>
          <rPr>
            <b/>
            <sz val="9"/>
            <color indexed="81"/>
            <rFont val="Tahoma"/>
            <family val="2"/>
          </rPr>
          <t>Juan Baca:</t>
        </r>
        <r>
          <rPr>
            <sz val="9"/>
            <color indexed="81"/>
            <rFont val="Tahoma"/>
            <family val="2"/>
          </rPr>
          <t xml:space="preserve">
all data from table 2</t>
        </r>
      </text>
    </comment>
    <comment ref="J939" authorId="0" shapeId="0" xr:uid="{DFAC2FAE-B9EF-44C0-80DB-D977F9378E6C}">
      <text>
        <r>
          <rPr>
            <b/>
            <sz val="9"/>
            <color indexed="81"/>
            <rFont val="Tahoma"/>
            <family val="2"/>
          </rPr>
          <t>Juan Baca:</t>
        </r>
        <r>
          <rPr>
            <sz val="9"/>
            <color indexed="81"/>
            <rFont val="Tahoma"/>
            <family val="2"/>
          </rPr>
          <t xml:space="preserve">
no age given, only mentioned that plamnts were flooded at 8-leaf stage (page 18)</t>
        </r>
      </text>
    </comment>
    <comment ref="W939" authorId="0" shapeId="0" xr:uid="{763787BB-02ED-4B8C-AEE1-F6E522943191}">
      <text>
        <r>
          <rPr>
            <b/>
            <sz val="9"/>
            <color indexed="81"/>
            <rFont val="Tahoma"/>
            <family val="2"/>
          </rPr>
          <t>Juan Baca:</t>
        </r>
        <r>
          <rPr>
            <sz val="9"/>
            <color indexed="81"/>
            <rFont val="Tahoma"/>
            <family val="2"/>
          </rPr>
          <t xml:space="preserve">
data extracted from text (page 19)</t>
        </r>
      </text>
    </comment>
    <comment ref="J941" authorId="0" shapeId="0" xr:uid="{C6AC8683-5D28-413E-AFAB-2B0ECB605DDF}">
      <text>
        <r>
          <rPr>
            <b/>
            <sz val="9"/>
            <color indexed="81"/>
            <rFont val="Tahoma"/>
            <family val="2"/>
          </rPr>
          <t>Juan Baca:</t>
        </r>
        <r>
          <rPr>
            <sz val="9"/>
            <color indexed="81"/>
            <rFont val="Tahoma"/>
            <family val="2"/>
          </rPr>
          <t xml:space="preserve">
Measurement
of the hydraulic conductance of the root system using the
pressure chamber technique began
when plants were 30-d-old and continued for six consecutive days (page 235)</t>
        </r>
      </text>
    </comment>
    <comment ref="W941" authorId="0" shapeId="0" xr:uid="{C8890C9F-1966-4AF1-A3F3-646120D5BA98}">
      <text>
        <r>
          <rPr>
            <b/>
            <sz val="9"/>
            <color indexed="81"/>
            <rFont val="Tahoma"/>
            <family val="2"/>
          </rPr>
          <t>Juan Baca:</t>
        </r>
        <r>
          <rPr>
            <sz val="9"/>
            <color indexed="81"/>
            <rFont val="Tahoma"/>
            <family val="2"/>
          </rPr>
          <t xml:space="preserve">
conductance and root length data from table 5</t>
        </r>
      </text>
    </comment>
    <comment ref="J943" authorId="0" shapeId="0" xr:uid="{0E148534-131A-4F7A-9541-A6F22C95A205}">
      <text>
        <r>
          <rPr>
            <b/>
            <sz val="9"/>
            <color indexed="81"/>
            <rFont val="Tahoma"/>
            <family val="2"/>
          </rPr>
          <t>Juan Baca:</t>
        </r>
        <r>
          <rPr>
            <sz val="9"/>
            <color indexed="81"/>
            <rFont val="Tahoma"/>
            <family val="2"/>
          </rPr>
          <t xml:space="preserve">
15 days of growth in nutrient solution + 5 or 7 days of N or P deprivation</t>
        </r>
      </text>
    </comment>
    <comment ref="X943" authorId="0" shapeId="0" xr:uid="{ACEAEA4D-3E88-40EE-A91E-67E4E65150F5}">
      <text>
        <r>
          <rPr>
            <b/>
            <sz val="9"/>
            <color indexed="81"/>
            <rFont val="Tahoma"/>
            <family val="2"/>
          </rPr>
          <t>Juan Baca:</t>
        </r>
        <r>
          <rPr>
            <sz val="9"/>
            <color indexed="81"/>
            <rFont val="Tahoma"/>
            <family val="2"/>
          </rPr>
          <t xml:space="preserve">
data from table 1</t>
        </r>
      </text>
    </comment>
    <comment ref="X949" authorId="0" shapeId="0" xr:uid="{89125D61-F205-4C05-B688-255BD1C5638F}">
      <text>
        <r>
          <rPr>
            <b/>
            <sz val="9"/>
            <color indexed="81"/>
            <rFont val="Tahoma"/>
            <family val="2"/>
          </rPr>
          <t>Juan Baca:</t>
        </r>
        <r>
          <rPr>
            <sz val="9"/>
            <color indexed="81"/>
            <rFont val="Tahoma"/>
            <family val="2"/>
          </rPr>
          <t xml:space="preserve">
data from table 3</t>
        </r>
      </text>
    </comment>
    <comment ref="K955" authorId="0" shapeId="0" xr:uid="{786BD400-4460-4C54-B257-9AA4B7EE2A8B}">
      <text>
        <r>
          <rPr>
            <b/>
            <sz val="9"/>
            <color indexed="81"/>
            <rFont val="Tahoma"/>
            <family val="2"/>
          </rPr>
          <t>Juan Baca:</t>
        </r>
        <r>
          <rPr>
            <sz val="9"/>
            <color indexed="81"/>
            <rFont val="Tahoma"/>
            <family val="2"/>
          </rPr>
          <t xml:space="preserve">
AQP inhibition by applying mercuric chloride; at some point  druing the experiement the addition of P or N stopped</t>
        </r>
      </text>
    </comment>
    <comment ref="X955" authorId="0" shapeId="0" xr:uid="{0960FC1F-2A7A-444F-8D33-DB35AECA849A}">
      <text>
        <r>
          <rPr>
            <b/>
            <sz val="9"/>
            <color indexed="81"/>
            <rFont val="Tahoma"/>
            <family val="2"/>
          </rPr>
          <t>Juan Baca:</t>
        </r>
        <r>
          <rPr>
            <sz val="9"/>
            <color indexed="81"/>
            <rFont val="Tahoma"/>
            <family val="2"/>
          </rPr>
          <t xml:space="preserve">
data from table 5</t>
        </r>
      </text>
    </comment>
    <comment ref="J961" authorId="0" shapeId="0" xr:uid="{64AD0A2A-246F-444B-B427-8BBC5FC45BDD}">
      <text>
        <r>
          <rPr>
            <b/>
            <sz val="9"/>
            <color indexed="81"/>
            <rFont val="Tahoma"/>
            <family val="2"/>
          </rPr>
          <t>Juan Baca:</t>
        </r>
        <r>
          <rPr>
            <sz val="9"/>
            <color indexed="81"/>
            <rFont val="Tahoma"/>
            <family val="2"/>
          </rPr>
          <t xml:space="preserve">
No direct information about age: "When plants were at the 7-8 leaf age, 30 plants of uniform size were chosen and divided into three groups (page 331)"</t>
        </r>
      </text>
    </comment>
    <comment ref="W961" authorId="0" shapeId="0" xr:uid="{99C80999-413C-41C4-B609-FC33B0DC25B9}">
      <text>
        <r>
          <rPr>
            <b/>
            <sz val="9"/>
            <color indexed="81"/>
            <rFont val="Tahoma"/>
            <family val="2"/>
          </rPr>
          <t>Juan Baca:</t>
        </r>
        <r>
          <rPr>
            <sz val="9"/>
            <color indexed="81"/>
            <rFont val="Tahoma"/>
            <family val="2"/>
          </rPr>
          <t xml:space="preserve">
data from text (page 333)</t>
        </r>
      </text>
    </comment>
    <comment ref="J964" authorId="0" shapeId="0" xr:uid="{0F2E41FB-F3F0-4246-A41E-BF3696DA5F7E}">
      <text>
        <r>
          <rPr>
            <b/>
            <sz val="9"/>
            <color indexed="81"/>
            <rFont val="Tahoma"/>
            <family val="2"/>
          </rPr>
          <t>Juan Baca:</t>
        </r>
        <r>
          <rPr>
            <sz val="9"/>
            <color indexed="81"/>
            <rFont val="Tahoma"/>
            <family val="2"/>
          </rPr>
          <t xml:space="preserve">
To measure root L,, pressure-flux curves were determined on twelve 7-week-old seedlings. (page 109)</t>
        </r>
      </text>
    </comment>
    <comment ref="L964" authorId="0" shapeId="0" xr:uid="{40F8A3ED-BE80-46F4-90A5-5CC248233DE5}">
      <text>
        <r>
          <rPr>
            <b/>
            <sz val="9"/>
            <color indexed="81"/>
            <rFont val="Tahoma"/>
            <family val="2"/>
          </rPr>
          <t>Juan Baca:</t>
        </r>
        <r>
          <rPr>
            <sz val="9"/>
            <color indexed="81"/>
            <rFont val="Tahoma"/>
            <family val="2"/>
          </rPr>
          <t xml:space="preserve">
AQP inhibition by application of mercuric chloride</t>
        </r>
      </text>
    </comment>
    <comment ref="AB964" authorId="0" shapeId="0" xr:uid="{EAA1F19D-CD31-49B0-9BCD-D9FDDC5CD91E}">
      <text>
        <r>
          <rPr>
            <b/>
            <sz val="9"/>
            <color indexed="81"/>
            <rFont val="Tahoma"/>
            <family val="2"/>
          </rPr>
          <t>Juan Baca:</t>
        </r>
        <r>
          <rPr>
            <sz val="9"/>
            <color indexed="81"/>
            <rFont val="Tahoma"/>
            <family val="2"/>
          </rPr>
          <t xml:space="preserve">
data from table 1</t>
        </r>
      </text>
    </comment>
    <comment ref="AH964" authorId="0" shapeId="0" xr:uid="{58AE6231-A0A3-4200-A17B-40251C6DCE30}">
      <text>
        <r>
          <rPr>
            <b/>
            <sz val="9"/>
            <color indexed="81"/>
            <rFont val="Tahoma"/>
            <family val="2"/>
          </rPr>
          <t>Juan Baca:</t>
        </r>
        <r>
          <rPr>
            <sz val="9"/>
            <color indexed="81"/>
            <rFont val="Tahoma"/>
            <family val="2"/>
          </rPr>
          <t xml:space="preserve">
An average root radius of
0.2 mm was obtained by sampling root cross-sections (page 109)</t>
        </r>
      </text>
    </comment>
    <comment ref="J966" authorId="0" shapeId="0" xr:uid="{257B26FD-8659-4E2E-9C1A-562344E18BEB}">
      <text>
        <r>
          <rPr>
            <b/>
            <sz val="9"/>
            <color indexed="81"/>
            <rFont val="Tahoma"/>
            <family val="2"/>
          </rPr>
          <t>Juan Baca:</t>
        </r>
        <r>
          <rPr>
            <sz val="9"/>
            <color indexed="81"/>
            <rFont val="Tahoma"/>
            <family val="2"/>
          </rPr>
          <t xml:space="preserve">
Two-year-old Norway spruce (Picea abies (L.) Karst.)seedlings from a local source were obtained from a private nursery in Bayreuth, FRG (page 91) </t>
        </r>
      </text>
    </comment>
    <comment ref="AB966" authorId="0" shapeId="0" xr:uid="{5AD03E5F-90F5-4455-B47B-113FDA92B176}">
      <text>
        <r>
          <rPr>
            <b/>
            <sz val="9"/>
            <color indexed="81"/>
            <rFont val="Tahoma"/>
            <family val="2"/>
          </rPr>
          <t>Juan Baca:</t>
        </r>
        <r>
          <rPr>
            <sz val="9"/>
            <color indexed="81"/>
            <rFont val="Tahoma"/>
            <family val="2"/>
          </rPr>
          <t xml:space="preserve">
min, average and max values calculated from Table 1</t>
        </r>
      </text>
    </comment>
    <comment ref="J972" authorId="0" shapeId="0" xr:uid="{DE1F3B1F-FAF6-4498-8553-466EB3DE80B4}">
      <text>
        <r>
          <rPr>
            <b/>
            <sz val="9"/>
            <color indexed="81"/>
            <rFont val="Tahoma"/>
            <family val="2"/>
          </rPr>
          <t>Juan Baca:</t>
        </r>
        <r>
          <rPr>
            <sz val="9"/>
            <color indexed="81"/>
            <rFont val="Tahoma"/>
            <family val="2"/>
          </rPr>
          <t xml:space="preserve">
no age given, only mentioned that plamnts were flooded at 8-leaf stage (page 1018)</t>
        </r>
      </text>
    </comment>
    <comment ref="J978" authorId="0" shapeId="0" xr:uid="{455F4F37-A717-4D73-BEF1-1F076590A4F7}">
      <text>
        <r>
          <rPr>
            <b/>
            <sz val="9"/>
            <color indexed="81"/>
            <rFont val="Tahoma"/>
            <family val="2"/>
          </rPr>
          <t>Juan Baca:</t>
        </r>
        <r>
          <rPr>
            <sz val="9"/>
            <color indexed="81"/>
            <rFont val="Tahoma"/>
            <family val="2"/>
          </rPr>
          <t xml:space="preserve">
Seedlings of Norway spruce (Picea abies (L.) Karst.; age: two years) were grown as described previously (page 1415)</t>
        </r>
      </text>
    </comment>
    <comment ref="AB978" authorId="0" shapeId="0" xr:uid="{81659A19-746C-414B-B5EC-36FAD1CF231D}">
      <text>
        <r>
          <rPr>
            <b/>
            <sz val="9"/>
            <color indexed="81"/>
            <rFont val="Tahoma"/>
            <family val="2"/>
          </rPr>
          <t>Juan Baca:</t>
        </r>
        <r>
          <rPr>
            <sz val="9"/>
            <color indexed="81"/>
            <rFont val="Tahoma"/>
            <family val="2"/>
          </rPr>
          <t xml:space="preserve">
data from table 2</t>
        </r>
      </text>
    </comment>
    <comment ref="AD978" authorId="0" shapeId="0" xr:uid="{EFE16302-1471-44B1-9C50-34E9FB185BE9}">
      <text>
        <r>
          <rPr>
            <b/>
            <sz val="9"/>
            <color indexed="81"/>
            <rFont val="Tahoma"/>
            <family val="2"/>
          </rPr>
          <t>Juan Baca:</t>
        </r>
        <r>
          <rPr>
            <sz val="9"/>
            <color indexed="81"/>
            <rFont val="Tahoma"/>
            <family val="2"/>
          </rPr>
          <t xml:space="preserve">
data from table1</t>
        </r>
      </text>
    </comment>
    <comment ref="AD981" authorId="0" shapeId="0" xr:uid="{04D24ABE-409F-4C22-A3B0-A6701044740C}">
      <text>
        <r>
          <rPr>
            <b/>
            <sz val="9"/>
            <color indexed="81"/>
            <rFont val="Tahoma"/>
            <family val="2"/>
          </rPr>
          <t>Juan Baca:</t>
        </r>
        <r>
          <rPr>
            <sz val="9"/>
            <color indexed="81"/>
            <rFont val="Tahoma"/>
            <family val="2"/>
          </rPr>
          <t xml:space="preserve">
larger area under stop-flow experiments (Table 1)</t>
        </r>
      </text>
    </comment>
    <comment ref="J986" authorId="0" shapeId="0" xr:uid="{CA895C39-8B13-49D0-9860-EFB872115EDA}">
      <text>
        <r>
          <rPr>
            <b/>
            <sz val="9"/>
            <color indexed="81"/>
            <rFont val="Tahoma"/>
            <family val="2"/>
          </rPr>
          <t>Juan Baca:</t>
        </r>
        <r>
          <rPr>
            <sz val="9"/>
            <color indexed="81"/>
            <rFont val="Tahoma"/>
            <family val="2"/>
          </rPr>
          <t xml:space="preserve">
One-month-old plants, whose shoot-roots had not yet developed, were used for whole sett-root system measurements  (page 1210)</t>
        </r>
      </text>
    </comment>
    <comment ref="AC986" authorId="0" shapeId="0" xr:uid="{1E906415-00D1-4FE4-9AFB-77007D579F63}">
      <text>
        <r>
          <rPr>
            <b/>
            <sz val="9"/>
            <color indexed="81"/>
            <rFont val="Tahoma"/>
            <family val="2"/>
          </rPr>
          <t>Juan Baca:</t>
        </r>
        <r>
          <rPr>
            <sz val="9"/>
            <color indexed="81"/>
            <rFont val="Tahoma"/>
            <family val="2"/>
          </rPr>
          <t xml:space="preserve">
data from table 1</t>
        </r>
      </text>
    </comment>
    <comment ref="AI986" authorId="0" shapeId="0" xr:uid="{274EE17F-3DC0-4D5A-AD29-F20854C9AB84}">
      <text>
        <r>
          <rPr>
            <b/>
            <sz val="9"/>
            <color indexed="81"/>
            <rFont val="Tahoma"/>
            <family val="2"/>
          </rPr>
          <t>Juan Baca:</t>
        </r>
        <r>
          <rPr>
            <sz val="9"/>
            <color indexed="81"/>
            <rFont val="Tahoma"/>
            <family val="2"/>
          </rPr>
          <t xml:space="preserve">
plant leaf area ranged form 0.6-0.8 m2/plant (legend table 1)</t>
        </r>
      </text>
    </comment>
    <comment ref="J988" authorId="0" shapeId="0" xr:uid="{F898F999-7F78-4D55-B236-013CD2028D98}">
      <text>
        <r>
          <rPr>
            <b/>
            <sz val="9"/>
            <color indexed="81"/>
            <rFont val="Tahoma"/>
            <family val="2"/>
          </rPr>
          <t>Juan Baca:</t>
        </r>
        <r>
          <rPr>
            <sz val="9"/>
            <color indexed="81"/>
            <rFont val="Tahoma"/>
            <family val="2"/>
          </rPr>
          <t xml:space="preserve">
36 days of growth before temperature was changed</t>
        </r>
      </text>
    </comment>
    <comment ref="J996" authorId="0" shapeId="0" xr:uid="{1ADD3286-6B05-4990-81C3-0185A1629563}">
      <text>
        <r>
          <rPr>
            <b/>
            <sz val="9"/>
            <color indexed="81"/>
            <rFont val="Tahoma"/>
            <family val="2"/>
          </rPr>
          <t>Juan Baca:</t>
        </r>
        <r>
          <rPr>
            <sz val="9"/>
            <color indexed="81"/>
            <rFont val="Tahoma"/>
            <family val="2"/>
          </rPr>
          <t xml:space="preserve">
3 days germination + 2 days in the dark + number of days after S-treatment start</t>
        </r>
      </text>
    </comment>
    <comment ref="K996" authorId="0" shapeId="0" xr:uid="{18AB5421-24BF-4738-A7F9-BBE6CEACCF8B}">
      <text>
        <r>
          <rPr>
            <b/>
            <sz val="9"/>
            <color indexed="81"/>
            <rFont val="Tahoma"/>
            <family val="2"/>
          </rPr>
          <t>Juan Baca:</t>
        </r>
        <r>
          <rPr>
            <sz val="9"/>
            <color indexed="81"/>
            <rFont val="Tahoma"/>
            <family val="2"/>
          </rPr>
          <t xml:space="preserve">
described as nutrient deprivation in the text -&gt; at some point S is not added anymore</t>
        </r>
      </text>
    </comment>
    <comment ref="J1004" authorId="0" shapeId="0" xr:uid="{B40EF3B2-2189-4EED-A75E-98A0BB186949}">
      <text>
        <r>
          <rPr>
            <b/>
            <sz val="9"/>
            <color indexed="81"/>
            <rFont val="Tahoma"/>
            <family val="2"/>
          </rPr>
          <t>Juan Baca:</t>
        </r>
        <r>
          <rPr>
            <sz val="9"/>
            <color indexed="81"/>
            <rFont val="Tahoma"/>
            <family val="2"/>
          </rPr>
          <t xml:space="preserve">
data from table 1</t>
        </r>
      </text>
    </comment>
    <comment ref="AE1004" authorId="0" shapeId="0" xr:uid="{97E56C35-486F-440E-A97D-4234FF5B8ECF}">
      <text>
        <r>
          <rPr>
            <b/>
            <sz val="9"/>
            <color indexed="81"/>
            <rFont val="Tahoma"/>
            <family val="2"/>
          </rPr>
          <t>Juan Baca:</t>
        </r>
        <r>
          <rPr>
            <sz val="9"/>
            <color indexed="81"/>
            <rFont val="Tahoma"/>
            <family val="2"/>
          </rPr>
          <t xml:space="preserve">
data from table 1</t>
        </r>
      </text>
    </comment>
    <comment ref="J1008" authorId="0" shapeId="0" xr:uid="{619B2580-19C5-41AB-84AB-D64DF3308A9F}">
      <text>
        <r>
          <rPr>
            <b/>
            <sz val="9"/>
            <color indexed="81"/>
            <rFont val="Tahoma"/>
            <family val="2"/>
          </rPr>
          <t>Juan Baca:</t>
        </r>
        <r>
          <rPr>
            <sz val="9"/>
            <color indexed="81"/>
            <rFont val="Tahoma"/>
            <family val="2"/>
          </rPr>
          <t xml:space="preserve">
data from table 1</t>
        </r>
      </text>
    </comment>
    <comment ref="J1012" authorId="0" shapeId="0" xr:uid="{D0201EEA-B2D3-48D2-B0EC-F55F9DC51563}">
      <text>
        <r>
          <rPr>
            <b/>
            <sz val="9"/>
            <color indexed="81"/>
            <rFont val="Tahoma"/>
            <family val="2"/>
          </rPr>
          <t>Juan Baca:</t>
        </r>
        <r>
          <rPr>
            <sz val="9"/>
            <color indexed="81"/>
            <rFont val="Tahoma"/>
            <family val="2"/>
          </rPr>
          <t xml:space="preserve">
Ten days after
germination, when leaf2 had just emerged, the seedlings were sprayed with a fine mist of water and then sprayed with urediniospores of Puccinia hordei + 24 h in dark + 24 h in light + 7 days after inoculation + 4-8 days after infection (page 408)</t>
        </r>
      </text>
    </comment>
    <comment ref="AD1012" authorId="0" shapeId="0" xr:uid="{717FA85D-3405-42EE-9C49-D12E9F5C52C0}">
      <text>
        <r>
          <rPr>
            <b/>
            <sz val="9"/>
            <color indexed="81"/>
            <rFont val="Tahoma"/>
            <family val="2"/>
          </rPr>
          <t>Juan Baca:</t>
        </r>
        <r>
          <rPr>
            <sz val="9"/>
            <color indexed="81"/>
            <rFont val="Tahoma"/>
            <family val="2"/>
          </rPr>
          <t xml:space="preserve">
from table 2</t>
        </r>
      </text>
    </comment>
    <comment ref="J1022" authorId="0" shapeId="0" xr:uid="{ACA63DC2-53A7-4B57-9EDF-413C6D8B739B}">
      <text>
        <r>
          <rPr>
            <b/>
            <sz val="9"/>
            <color indexed="81"/>
            <rFont val="Tahoma"/>
            <family val="2"/>
          </rPr>
          <t>Juan Baca:</t>
        </r>
        <r>
          <rPr>
            <sz val="9"/>
            <color indexed="81"/>
            <rFont val="Tahoma"/>
            <family val="2"/>
          </rPr>
          <t xml:space="preserve">
Measurements were taken on seedlings in this
complete factorial design after nine months (page 276)</t>
        </r>
      </text>
    </comment>
    <comment ref="W1022" authorId="0" shapeId="0" xr:uid="{251E10F2-1F59-49BB-B9BD-6A8499A0A9BF}">
      <text>
        <r>
          <rPr>
            <b/>
            <sz val="9"/>
            <color indexed="81"/>
            <rFont val="Tahoma"/>
            <family val="2"/>
          </rPr>
          <t>Juan Baca:</t>
        </r>
        <r>
          <rPr>
            <sz val="9"/>
            <color indexed="81"/>
            <rFont val="Tahoma"/>
            <family val="2"/>
          </rPr>
          <t xml:space="preserve">
Data from table 4</t>
        </r>
      </text>
    </comment>
    <comment ref="Z1022" authorId="0" shapeId="0" xr:uid="{F55BC6B1-3814-46DA-B11A-C7B7109C9866}">
      <text>
        <r>
          <rPr>
            <b/>
            <sz val="9"/>
            <color indexed="81"/>
            <rFont val="Tahoma"/>
            <family val="2"/>
          </rPr>
          <t>Juan Baca:</t>
        </r>
        <r>
          <rPr>
            <sz val="9"/>
            <color indexed="81"/>
            <rFont val="Tahoma"/>
            <family val="2"/>
          </rPr>
          <t xml:space="preserve">
Data from table 4</t>
        </r>
      </text>
    </comment>
    <comment ref="AE1022" authorId="0" shapeId="0" xr:uid="{BAEE09DF-CFB4-42A2-8928-2290473512D9}">
      <text>
        <r>
          <rPr>
            <b/>
            <sz val="9"/>
            <color indexed="81"/>
            <rFont val="Tahoma"/>
            <family val="2"/>
          </rPr>
          <t>Juan Baca:</t>
        </r>
        <r>
          <rPr>
            <sz val="9"/>
            <color indexed="81"/>
            <rFont val="Tahoma"/>
            <family val="2"/>
          </rPr>
          <t xml:space="preserve">
Morphological data from Table 1; total root length referes to fine roots</t>
        </r>
      </text>
    </comment>
    <comment ref="W1028" authorId="0" shapeId="0" xr:uid="{AAE1752A-2F97-48FB-8FC7-1627CBC2F295}">
      <text>
        <r>
          <rPr>
            <b/>
            <sz val="9"/>
            <color indexed="81"/>
            <rFont val="Tahoma"/>
            <family val="2"/>
          </rPr>
          <t>Juan Baca:</t>
        </r>
        <r>
          <rPr>
            <sz val="9"/>
            <color indexed="81"/>
            <rFont val="Tahoma"/>
            <family val="2"/>
          </rPr>
          <t xml:space="preserve">
Data from table 5
</t>
        </r>
      </text>
    </comment>
    <comment ref="Z1028" authorId="0" shapeId="0" xr:uid="{501C0631-8D0D-4B9D-8C85-13920C9A278F}">
      <text>
        <r>
          <rPr>
            <b/>
            <sz val="9"/>
            <color indexed="81"/>
            <rFont val="Tahoma"/>
            <family val="2"/>
          </rPr>
          <t>Juan Baca:</t>
        </r>
        <r>
          <rPr>
            <sz val="9"/>
            <color indexed="81"/>
            <rFont val="Tahoma"/>
            <family val="2"/>
          </rPr>
          <t xml:space="preserve">
Data from table 5
</t>
        </r>
      </text>
    </comment>
    <comment ref="AE1028" authorId="0" shapeId="0" xr:uid="{7FFDBD03-17B8-439A-8891-165F2CF9164C}">
      <text>
        <r>
          <rPr>
            <b/>
            <sz val="9"/>
            <color indexed="81"/>
            <rFont val="Tahoma"/>
            <family val="2"/>
          </rPr>
          <t>Juan Baca:</t>
        </r>
        <r>
          <rPr>
            <sz val="9"/>
            <color indexed="81"/>
            <rFont val="Tahoma"/>
            <family val="2"/>
          </rPr>
          <t xml:space="preserve">
Morphological data from Table 2; total root length referes to fine roots</t>
        </r>
      </text>
    </comment>
    <comment ref="J1031" authorId="0" shapeId="0" xr:uid="{B5E52A6F-D00C-419D-8149-37BD5156E3A2}">
      <text>
        <r>
          <rPr>
            <b/>
            <sz val="9"/>
            <color indexed="81"/>
            <rFont val="Tahoma"/>
            <family val="2"/>
          </rPr>
          <t>Juan Baca:</t>
        </r>
        <r>
          <rPr>
            <sz val="9"/>
            <color indexed="81"/>
            <rFont val="Tahoma"/>
            <family val="2"/>
          </rPr>
          <t xml:space="preserve">
Lp determinations began on the 48th day of treatment and
continued through the 63rd day. (page 660). First, 21 days germinated and 7 days acclimation in the chamber</t>
        </r>
      </text>
    </comment>
    <comment ref="W1031" authorId="0" shapeId="0" xr:uid="{5FFAEE88-C937-4292-80CB-D5E4D1E440EF}">
      <text>
        <r>
          <rPr>
            <b/>
            <sz val="9"/>
            <color indexed="81"/>
            <rFont val="Tahoma"/>
            <family val="2"/>
          </rPr>
          <t>Juan Baca:</t>
        </r>
        <r>
          <rPr>
            <sz val="9"/>
            <color indexed="81"/>
            <rFont val="Tahoma"/>
            <family val="2"/>
          </rPr>
          <t xml:space="preserve">
All data from Table 3</t>
        </r>
      </text>
    </comment>
    <comment ref="J1037" authorId="0" shapeId="0" xr:uid="{92338B01-7DC6-4827-BDC6-2D30CF355068}">
      <text>
        <r>
          <rPr>
            <b/>
            <sz val="9"/>
            <color indexed="81"/>
            <rFont val="Tahoma"/>
            <family val="2"/>
          </rPr>
          <t>Juan Baca:</t>
        </r>
        <r>
          <rPr>
            <sz val="9"/>
            <color indexed="81"/>
            <rFont val="Tahoma"/>
            <family val="2"/>
          </rPr>
          <t xml:space="preserve">
7 days germination and growth in Peat-Lite, then 14 days growth in chamber + 4 days treatments</t>
        </r>
      </text>
    </comment>
    <comment ref="AH1037" authorId="0" shapeId="0" xr:uid="{87122707-60FB-4459-80B6-81A6665EB99E}">
      <text>
        <r>
          <rPr>
            <b/>
            <sz val="9"/>
            <color indexed="81"/>
            <rFont val="Tahoma"/>
            <family val="2"/>
          </rPr>
          <t>Juan Baca:</t>
        </r>
        <r>
          <rPr>
            <sz val="9"/>
            <color indexed="81"/>
            <rFont val="Tahoma"/>
            <family val="2"/>
          </rPr>
          <t xml:space="preserve">
Because a preliminary analysis of the distribution of root radii among treatments revealed no consistent differences in root thickness
among salinized and control plants, an approximate radius of
0.2 mm was taken (page 1263)</t>
        </r>
      </text>
    </comment>
    <comment ref="J1043" authorId="0" shapeId="0" xr:uid="{300CC0B5-29EC-4FEA-A268-42ED518440AE}">
      <text>
        <r>
          <rPr>
            <b/>
            <sz val="9"/>
            <color indexed="81"/>
            <rFont val="Tahoma"/>
            <family val="2"/>
          </rPr>
          <t>Juan Baca:</t>
        </r>
        <r>
          <rPr>
            <sz val="9"/>
            <color indexed="81"/>
            <rFont val="Tahoma"/>
            <family val="2"/>
          </rPr>
          <t xml:space="preserve">
one year old black spruce seedling were used (page 74)</t>
        </r>
      </text>
    </comment>
    <comment ref="K1043" authorId="0" shapeId="0" xr:uid="{1614C9A0-CD9E-4AC4-9344-227EC8024A7C}">
      <text>
        <r>
          <rPr>
            <b/>
            <sz val="9"/>
            <color indexed="81"/>
            <rFont val="Tahoma"/>
            <family val="2"/>
          </rPr>
          <t>Juan Baca:</t>
        </r>
        <r>
          <rPr>
            <sz val="9"/>
            <color indexed="81"/>
            <rFont val="Tahoma"/>
            <family val="2"/>
          </rPr>
          <t xml:space="preserve">
as a proxy for new root development after thawing</t>
        </r>
      </text>
    </comment>
    <comment ref="AA1043" authorId="0" shapeId="0" xr:uid="{238DE87A-1F66-435C-89B9-05AA1894EC94}">
      <text>
        <r>
          <rPr>
            <b/>
            <sz val="9"/>
            <color indexed="81"/>
            <rFont val="Tahoma"/>
            <family val="2"/>
          </rPr>
          <t>Juan Baca:</t>
        </r>
        <r>
          <rPr>
            <sz val="9"/>
            <color indexed="81"/>
            <rFont val="Tahoma"/>
            <family val="2"/>
          </rPr>
          <t xml:space="preserve">
data from table 1</t>
        </r>
      </text>
    </comment>
    <comment ref="J1049" authorId="0" shapeId="0" xr:uid="{D2479C80-EE94-44BB-9033-DA9F53FC8408}">
      <text>
        <r>
          <rPr>
            <b/>
            <sz val="9"/>
            <color indexed="81"/>
            <rFont val="Tahoma"/>
            <family val="2"/>
          </rPr>
          <t>Juan Baca:</t>
        </r>
        <r>
          <rPr>
            <sz val="9"/>
            <color indexed="81"/>
            <rFont val="Tahoma"/>
            <family val="2"/>
          </rPr>
          <t xml:space="preserve">
no clear infromation about age</t>
        </r>
      </text>
    </comment>
    <comment ref="J1057" authorId="0" shapeId="0" xr:uid="{AD7AEDC4-C530-43A3-8F86-E510D0C31AEA}">
      <text>
        <r>
          <rPr>
            <b/>
            <sz val="9"/>
            <color indexed="81"/>
            <rFont val="Tahoma"/>
            <family val="2"/>
          </rPr>
          <t>Juan Baca:</t>
        </r>
        <r>
          <rPr>
            <sz val="9"/>
            <color indexed="81"/>
            <rFont val="Tahoma"/>
            <family val="2"/>
          </rPr>
          <t xml:space="preserve">
Whole root systems (shoot removed but
caryopsis still attached) and single roots were excised when seedlings were d~10 d old and before root branching had occurred (page 2)</t>
        </r>
      </text>
    </comment>
    <comment ref="AB1057" authorId="0" shapeId="0" xr:uid="{5F9DC6F3-D45D-4DF0-A7B1-144883CBA946}">
      <text>
        <r>
          <rPr>
            <b/>
            <sz val="9"/>
            <color indexed="81"/>
            <rFont val="Tahoma"/>
            <family val="2"/>
          </rPr>
          <t>Juan Baca:</t>
        </r>
        <r>
          <rPr>
            <sz val="9"/>
            <color indexed="81"/>
            <rFont val="Tahoma"/>
            <family val="2"/>
          </rPr>
          <t xml:space="preserve">
data from text (page 3)</t>
        </r>
      </text>
    </comment>
    <comment ref="J1058" authorId="0" shapeId="0" xr:uid="{C16EEC8F-D984-4632-B4E2-432378578D59}">
      <text>
        <r>
          <rPr>
            <b/>
            <sz val="9"/>
            <color indexed="81"/>
            <rFont val="Tahoma"/>
            <family val="2"/>
          </rPr>
          <t>Juan Baca:</t>
        </r>
        <r>
          <rPr>
            <sz val="9"/>
            <color indexed="81"/>
            <rFont val="Tahoma"/>
            <family val="2"/>
          </rPr>
          <t xml:space="preserve">
age classes form table 1</t>
        </r>
      </text>
    </comment>
    <comment ref="Z1058" authorId="0" shapeId="0" xr:uid="{EB19964A-60F6-4715-BE55-98ED64F85AA2}">
      <text>
        <r>
          <rPr>
            <b/>
            <sz val="9"/>
            <color indexed="81"/>
            <rFont val="Tahoma"/>
            <family val="2"/>
          </rPr>
          <t>Juan Baca:</t>
        </r>
        <r>
          <rPr>
            <sz val="9"/>
            <color indexed="81"/>
            <rFont val="Tahoma"/>
            <family val="2"/>
          </rPr>
          <t xml:space="preserve">
data from table 1</t>
        </r>
      </text>
    </comment>
    <comment ref="J1066" authorId="0" shapeId="0" xr:uid="{F24AF196-F1AC-4A2C-8117-16C93313A43F}">
      <text>
        <r>
          <rPr>
            <b/>
            <sz val="9"/>
            <color indexed="81"/>
            <rFont val="Tahoma"/>
            <family val="2"/>
          </rPr>
          <t>Juan Baca:</t>
        </r>
        <r>
          <rPr>
            <sz val="9"/>
            <color indexed="81"/>
            <rFont val="Tahoma"/>
            <family val="2"/>
          </rPr>
          <t xml:space="preserve">
no clear infromation about plant age</t>
        </r>
      </text>
    </comment>
    <comment ref="AD1066" authorId="0" shapeId="0" xr:uid="{22F7CDAB-2D78-4B21-B9C7-7F8669B7E179}">
      <text>
        <r>
          <rPr>
            <b/>
            <sz val="9"/>
            <color indexed="81"/>
            <rFont val="Tahoma"/>
            <family val="2"/>
          </rPr>
          <t>Juan Baca:</t>
        </r>
        <r>
          <rPr>
            <sz val="9"/>
            <color indexed="81"/>
            <rFont val="Tahoma"/>
            <family val="2"/>
          </rPr>
          <t xml:space="preserve">
morpho data from text (page 752)</t>
        </r>
      </text>
    </comment>
    <comment ref="J1080" authorId="0" shapeId="0" xr:uid="{71B33C30-74A1-4887-85A3-490F8AA461CB}">
      <text>
        <r>
          <rPr>
            <b/>
            <sz val="9"/>
            <color indexed="81"/>
            <rFont val="Tahoma"/>
            <family val="2"/>
          </rPr>
          <t>Juan Baca:</t>
        </r>
        <r>
          <rPr>
            <sz val="9"/>
            <color indexed="81"/>
            <rFont val="Tahoma"/>
            <family val="2"/>
          </rPr>
          <t xml:space="preserve">
no information about the age</t>
        </r>
      </text>
    </comment>
    <comment ref="Y1080" authorId="0" shapeId="0" xr:uid="{9DD1F829-0CAD-4DB8-ADC1-4574D8B86F2D}">
      <text>
        <r>
          <rPr>
            <b/>
            <sz val="9"/>
            <color indexed="81"/>
            <rFont val="Tahoma"/>
            <family val="2"/>
          </rPr>
          <t>Juan Baca:</t>
        </r>
        <r>
          <rPr>
            <sz val="9"/>
            <color indexed="81"/>
            <rFont val="Tahoma"/>
            <family val="2"/>
          </rPr>
          <t xml:space="preserve">
data from text (page 170)</t>
        </r>
      </text>
    </comment>
    <comment ref="AB1080" authorId="0" shapeId="0" xr:uid="{123C8A6E-6D4C-468D-BE78-E4D17FA4364C}">
      <text>
        <r>
          <rPr>
            <b/>
            <sz val="9"/>
            <color indexed="81"/>
            <rFont val="Tahoma"/>
            <family val="2"/>
          </rPr>
          <t>Juan Baca:</t>
        </r>
        <r>
          <rPr>
            <sz val="9"/>
            <color indexed="81"/>
            <rFont val="Tahoma"/>
            <family val="2"/>
          </rPr>
          <t xml:space="preserve">
data from text (page 173)</t>
        </r>
      </text>
    </comment>
    <comment ref="AD1080" authorId="0" shapeId="0" xr:uid="{06504630-967E-4E01-9143-8B65BB26E59D}">
      <text>
        <r>
          <rPr>
            <b/>
            <sz val="9"/>
            <color indexed="81"/>
            <rFont val="Tahoma"/>
            <family val="2"/>
          </rPr>
          <t>Juan Baca:</t>
        </r>
        <r>
          <rPr>
            <sz val="9"/>
            <color indexed="81"/>
            <rFont val="Tahoma"/>
            <family val="2"/>
          </rPr>
          <t xml:space="preserve">
data from text (page 173)</t>
        </r>
      </text>
    </comment>
    <comment ref="J1081" authorId="0" shapeId="0" xr:uid="{586B7FA9-F475-4647-8948-3E9927AE770A}">
      <text>
        <r>
          <rPr>
            <b/>
            <sz val="9"/>
            <color indexed="81"/>
            <rFont val="Tahoma"/>
            <family val="2"/>
          </rPr>
          <t>Juan Baca:</t>
        </r>
        <r>
          <rPr>
            <sz val="9"/>
            <color indexed="81"/>
            <rFont val="Tahoma"/>
            <family val="2"/>
          </rPr>
          <t xml:space="preserve">
Four weeks old plants grown in soil (page 230)</t>
        </r>
      </text>
    </comment>
    <comment ref="AA1081" authorId="0" shapeId="0" xr:uid="{8638128C-DDC0-406F-8CFF-8B0120EAF00F}">
      <text>
        <r>
          <rPr>
            <b/>
            <sz val="9"/>
            <color indexed="81"/>
            <rFont val="Tahoma"/>
            <family val="2"/>
          </rPr>
          <t>Juan Baca:</t>
        </r>
        <r>
          <rPr>
            <sz val="9"/>
            <color indexed="81"/>
            <rFont val="Tahoma"/>
            <family val="2"/>
          </rPr>
          <t xml:space="preserve">
data from table 5 (expressed originally in cm3/(Mpa*s*cm3 root volume)</t>
        </r>
      </text>
    </comment>
    <comment ref="AF1081" authorId="0" shapeId="0" xr:uid="{9D223323-93AE-48ED-89B4-D7C8DDBE5F95}">
      <text>
        <r>
          <rPr>
            <b/>
            <sz val="9"/>
            <color indexed="81"/>
            <rFont val="Tahoma"/>
            <family val="2"/>
          </rPr>
          <t>Juan Baca:</t>
        </r>
        <r>
          <rPr>
            <sz val="9"/>
            <color indexed="81"/>
            <rFont val="Tahoma"/>
            <family val="2"/>
          </rPr>
          <t xml:space="preserve">
morphological data from table 1</t>
        </r>
      </text>
    </comment>
    <comment ref="J1087" authorId="0" shapeId="0" xr:uid="{0556FBFC-099D-45D9-AF1E-D91C1010813F}">
      <text>
        <r>
          <rPr>
            <b/>
            <sz val="9"/>
            <color indexed="81"/>
            <rFont val="Tahoma"/>
            <family val="2"/>
          </rPr>
          <t>Juan Baca:</t>
        </r>
        <r>
          <rPr>
            <sz val="9"/>
            <color indexed="81"/>
            <rFont val="Tahoma"/>
            <family val="2"/>
          </rPr>
          <t xml:space="preserve">
aged of plants used in the study = 4 weeks (Table 1)</t>
        </r>
      </text>
    </comment>
    <comment ref="AB1087" authorId="0" shapeId="0" xr:uid="{9687E4B5-76DE-478B-80E6-B1C75F5E9C94}">
      <text>
        <r>
          <rPr>
            <b/>
            <sz val="9"/>
            <color indexed="81"/>
            <rFont val="Tahoma"/>
            <family val="2"/>
          </rPr>
          <t>Juan Baca:</t>
        </r>
        <r>
          <rPr>
            <sz val="9"/>
            <color indexed="81"/>
            <rFont val="Tahoma"/>
            <family val="2"/>
          </rPr>
          <t xml:space="preserve">
data from table 4 (measured at 0.207 Mpa)</t>
        </r>
      </text>
    </comment>
    <comment ref="B1088" authorId="0" shapeId="0" xr:uid="{6BF9F6B2-2748-41A0-901D-93C7D0FB7B64}">
      <text>
        <r>
          <rPr>
            <b/>
            <sz val="9"/>
            <color indexed="81"/>
            <rFont val="Tahoma"/>
            <family val="2"/>
          </rPr>
          <t>Juan Baca:</t>
        </r>
        <r>
          <rPr>
            <sz val="9"/>
            <color indexed="81"/>
            <rFont val="Tahoma"/>
            <family val="2"/>
          </rPr>
          <t xml:space="preserve">
variety kidney bean</t>
        </r>
      </text>
    </comment>
    <comment ref="J1090" authorId="0" shapeId="0" xr:uid="{8556EFEF-EB68-4BA5-B3EF-C5FAF3B276A0}">
      <text>
        <r>
          <rPr>
            <b/>
            <sz val="9"/>
            <color indexed="81"/>
            <rFont val="Tahoma"/>
            <family val="2"/>
          </rPr>
          <t>Juan Baca:</t>
        </r>
        <r>
          <rPr>
            <sz val="9"/>
            <color indexed="81"/>
            <rFont val="Tahoma"/>
            <family val="2"/>
          </rPr>
          <t xml:space="preserve">
They were used for experiments when 4-6 d old and the primary
root was 5-10 cm long (page 231)</t>
        </r>
      </text>
    </comment>
    <comment ref="AB1090" authorId="0" shapeId="0" xr:uid="{BDBC6E3C-A8B0-4040-9E8B-B89E22EFCAA8}">
      <text>
        <r>
          <rPr>
            <b/>
            <sz val="9"/>
            <color indexed="81"/>
            <rFont val="Tahoma"/>
            <family val="2"/>
          </rPr>
          <t>Juan Baca:</t>
        </r>
        <r>
          <rPr>
            <sz val="9"/>
            <color indexed="81"/>
            <rFont val="Tahoma"/>
            <family val="2"/>
          </rPr>
          <t xml:space="preserve">
data from table 2</t>
        </r>
      </text>
    </comment>
    <comment ref="J1091" authorId="0" shapeId="0" xr:uid="{D8E12401-7097-48E7-B1EA-5F7419DEB727}">
      <text>
        <r>
          <rPr>
            <b/>
            <sz val="9"/>
            <color indexed="81"/>
            <rFont val="Tahoma"/>
            <family val="2"/>
          </rPr>
          <t>Juan Baca:</t>
        </r>
        <r>
          <rPr>
            <sz val="9"/>
            <color indexed="81"/>
            <rFont val="Tahoma"/>
            <family val="2"/>
          </rPr>
          <t xml:space="preserve">
Loblolly pine seedlings (8 months old)  + treatemnts that took at least 4 weeks (page 560)</t>
        </r>
      </text>
    </comment>
    <comment ref="L1091" authorId="0" shapeId="0" xr:uid="{0658DC52-C01C-4CEA-B9C6-2F28FA629419}">
      <text>
        <r>
          <rPr>
            <b/>
            <sz val="9"/>
            <color indexed="81"/>
            <rFont val="Tahoma"/>
            <family val="2"/>
          </rPr>
          <t>Juan Baca:</t>
        </r>
        <r>
          <rPr>
            <sz val="9"/>
            <color indexed="81"/>
            <rFont val="Tahoma"/>
            <family val="2"/>
          </rPr>
          <t xml:space="preserve">
"average root" (including brown and white roots and no mycorrhiza</t>
        </r>
      </text>
    </comment>
    <comment ref="AB1091" authorId="0" shapeId="0" xr:uid="{397314C5-B1AF-4ACF-AC3F-2C4BA0EF7136}">
      <text>
        <r>
          <rPr>
            <b/>
            <sz val="9"/>
            <color indexed="81"/>
            <rFont val="Tahoma"/>
            <family val="2"/>
          </rPr>
          <t>Juan Baca:</t>
        </r>
        <r>
          <rPr>
            <sz val="9"/>
            <color indexed="81"/>
            <rFont val="Tahoma"/>
            <family val="2"/>
          </rPr>
          <t xml:space="preserve">
data from table 1</t>
        </r>
      </text>
    </comment>
    <comment ref="AB1092" authorId="0" shapeId="0" xr:uid="{7761D486-11A1-4D6F-A64F-37A6B51EDF96}">
      <text>
        <r>
          <rPr>
            <b/>
            <sz val="9"/>
            <color indexed="81"/>
            <rFont val="Tahoma"/>
            <family val="2"/>
          </rPr>
          <t>Juan Baca:</t>
        </r>
        <r>
          <rPr>
            <sz val="9"/>
            <color indexed="81"/>
            <rFont val="Tahoma"/>
            <family val="2"/>
          </rPr>
          <t xml:space="preserve">
data from text (page 564)</t>
        </r>
      </text>
    </comment>
    <comment ref="J1096" authorId="0" shapeId="0" xr:uid="{FAB1D9D5-34AB-43A5-A7B4-B9280CDC4067}">
      <text>
        <r>
          <rPr>
            <b/>
            <sz val="9"/>
            <color indexed="81"/>
            <rFont val="Tahoma"/>
            <family val="2"/>
          </rPr>
          <t>Juan Baca:</t>
        </r>
        <r>
          <rPr>
            <sz val="9"/>
            <color indexed="81"/>
            <rFont val="Tahoma"/>
            <family val="2"/>
          </rPr>
          <t xml:space="preserve">
plant age data from Fig. 4</t>
        </r>
      </text>
    </comment>
    <comment ref="J1110" authorId="0" shapeId="0" xr:uid="{67BA76F0-D4D2-4A6E-81D0-384D2C2C8C79}">
      <text>
        <r>
          <rPr>
            <b/>
            <sz val="9"/>
            <color indexed="81"/>
            <rFont val="Tahoma"/>
            <family val="2"/>
          </rPr>
          <t>Juan Baca:</t>
        </r>
        <r>
          <rPr>
            <sz val="9"/>
            <color indexed="81"/>
            <rFont val="Tahoma"/>
            <family val="2"/>
          </rPr>
          <t xml:space="preserve">
The plants were used 45 to 60 days after germination. (page 1014)</t>
        </r>
      </text>
    </comment>
    <comment ref="AB1110" authorId="0" shapeId="0" xr:uid="{C586EA17-A2B5-4493-9E53-7C81A11D99F6}">
      <text>
        <r>
          <rPr>
            <b/>
            <sz val="9"/>
            <color indexed="81"/>
            <rFont val="Tahoma"/>
            <family val="2"/>
          </rPr>
          <t>Juan Baca:</t>
        </r>
        <r>
          <rPr>
            <sz val="9"/>
            <color indexed="81"/>
            <rFont val="Tahoma"/>
            <family val="2"/>
          </rPr>
          <t xml:space="preserve">
data from table 1</t>
        </r>
      </text>
    </comment>
    <comment ref="J1111" authorId="0" shapeId="0" xr:uid="{833E9C68-9F1F-4845-A5B0-6D6147CCAA79}">
      <text>
        <r>
          <rPr>
            <b/>
            <sz val="9"/>
            <color indexed="81"/>
            <rFont val="Tahoma"/>
            <family val="2"/>
          </rPr>
          <t>Juan Baca:</t>
        </r>
        <r>
          <rPr>
            <sz val="9"/>
            <color indexed="81"/>
            <rFont val="Tahoma"/>
            <family val="2"/>
          </rPr>
          <t xml:space="preserve">
age data from table 3</t>
        </r>
      </text>
    </comment>
    <comment ref="AB1111" authorId="0" shapeId="0" xr:uid="{63CAC329-EB4D-4114-B11C-A4829178C582}">
      <text>
        <r>
          <rPr>
            <b/>
            <sz val="9"/>
            <color indexed="81"/>
            <rFont val="Tahoma"/>
            <family val="2"/>
          </rPr>
          <t>Juan Baca:</t>
        </r>
        <r>
          <rPr>
            <sz val="9"/>
            <color indexed="81"/>
            <rFont val="Tahoma"/>
            <family val="2"/>
          </rPr>
          <t xml:space="preserve">
all coducttance/ conductivity data from table 4  </t>
        </r>
      </text>
    </comment>
    <comment ref="AD1111" authorId="0" shapeId="0" xr:uid="{E356B181-DF20-4607-9795-DC254520BBD8}">
      <text>
        <r>
          <rPr>
            <b/>
            <sz val="9"/>
            <color indexed="81"/>
            <rFont val="Tahoma"/>
            <family val="2"/>
          </rPr>
          <t>Juan Baca:</t>
        </r>
        <r>
          <rPr>
            <sz val="9"/>
            <color indexed="81"/>
            <rFont val="Tahoma"/>
            <family val="2"/>
          </rPr>
          <t xml:space="preserve">
morphological data from table 3 -&gt; ranges (not mean valuies) reported</t>
        </r>
      </text>
    </comment>
  </commentList>
</comments>
</file>

<file path=xl/sharedStrings.xml><?xml version="1.0" encoding="utf-8"?>
<sst xmlns="http://schemas.openxmlformats.org/spreadsheetml/2006/main" count="20073" uniqueCount="812">
  <si>
    <t>Reference</t>
  </si>
  <si>
    <t>Species</t>
  </si>
  <si>
    <t>Genus</t>
  </si>
  <si>
    <t>Family</t>
  </si>
  <si>
    <t>Photo_pathway</t>
  </si>
  <si>
    <t>Age_days</t>
  </si>
  <si>
    <t xml:space="preserve">Root_section </t>
  </si>
  <si>
    <t>Surface_area_root_cm2</t>
  </si>
  <si>
    <t>Total_root_length_cm</t>
  </si>
  <si>
    <t>root_DW_g</t>
  </si>
  <si>
    <t>root_FW_g</t>
  </si>
  <si>
    <t>root_diameter_mm</t>
  </si>
  <si>
    <t>Surface_area_leaf_m2</t>
  </si>
  <si>
    <t>Kodama_etal_2021_Plant Prod Sci</t>
  </si>
  <si>
    <t>Barley</t>
  </si>
  <si>
    <t>Hordeum</t>
  </si>
  <si>
    <t>Poaceae</t>
  </si>
  <si>
    <t>C3</t>
  </si>
  <si>
    <t>C3 grass</t>
  </si>
  <si>
    <t>Rodriguez-Dominguez&amp;Brodribb_2020_NewPhytol</t>
  </si>
  <si>
    <t>Olea europea</t>
  </si>
  <si>
    <t>Olea</t>
  </si>
  <si>
    <t>Oleaceae</t>
  </si>
  <si>
    <t>BET Temperate</t>
  </si>
  <si>
    <t>Water stress levels</t>
  </si>
  <si>
    <t>Rehydration technique</t>
  </si>
  <si>
    <t>Grondin_etal_2020_PLoS One</t>
  </si>
  <si>
    <t>Pearl millet</t>
  </si>
  <si>
    <t>Cenchrus</t>
  </si>
  <si>
    <t>C4</t>
  </si>
  <si>
    <t>C4 grass</t>
  </si>
  <si>
    <t>Gavassi_etal_2020_Environ Exp Bot</t>
  </si>
  <si>
    <t>Tomato</t>
  </si>
  <si>
    <t>Solanum</t>
  </si>
  <si>
    <t>Solanaceae</t>
  </si>
  <si>
    <t>Aluminium toxicity</t>
  </si>
  <si>
    <t>Control</t>
  </si>
  <si>
    <t>Al_25um</t>
  </si>
  <si>
    <t>Al_50um</t>
  </si>
  <si>
    <t>Al_100um</t>
  </si>
  <si>
    <t>Dayer_etal_2020_Front Plant Sci</t>
  </si>
  <si>
    <t>Grapevine</t>
  </si>
  <si>
    <t>Vitis</t>
  </si>
  <si>
    <t>Vitaceae</t>
  </si>
  <si>
    <t>HPFM</t>
  </si>
  <si>
    <t>Shi_etal_2016_Front Plant Sci</t>
  </si>
  <si>
    <t>Drought_Silicon</t>
  </si>
  <si>
    <t>Silicon</t>
  </si>
  <si>
    <t>Drought</t>
  </si>
  <si>
    <t>Niu_etal_2016_J Exp Biol</t>
  </si>
  <si>
    <t>Maize</t>
  </si>
  <si>
    <t>Zea</t>
  </si>
  <si>
    <t>Meng_etal_2016_Ann Bot</t>
  </si>
  <si>
    <t>Rice</t>
  </si>
  <si>
    <t>Oryza</t>
  </si>
  <si>
    <t>Grondin_etal_2016_Plant Cell Env</t>
  </si>
  <si>
    <t>Kaneko_etal_2015_Plant Cell Physiol</t>
  </si>
  <si>
    <t>Barrios-Masias_etal_2015_J Exp Biol</t>
  </si>
  <si>
    <t>Liu_etal_2014_J Exp Biol</t>
  </si>
  <si>
    <t>Sorghum bicolor</t>
  </si>
  <si>
    <t>Sorghum</t>
  </si>
  <si>
    <t>Osmotic stress</t>
  </si>
  <si>
    <t>Adiredjo_etal_2014_Bot Stud</t>
  </si>
  <si>
    <t>Sunflower</t>
  </si>
  <si>
    <t>Helianthus</t>
  </si>
  <si>
    <t>Asteraceae</t>
  </si>
  <si>
    <t>Suku_etal_2013_Ann Bot</t>
  </si>
  <si>
    <t>Populus</t>
  </si>
  <si>
    <t>Salicaceae</t>
  </si>
  <si>
    <t>BDT Temperate</t>
  </si>
  <si>
    <t>Perrone_etal_2012_Plant Physiol</t>
  </si>
  <si>
    <t>Wild type</t>
  </si>
  <si>
    <t>Sakurai-Ishikawa_etal_2011_Plant Cell Env</t>
  </si>
  <si>
    <t>Kudoyarova_etal_2011_Planta</t>
  </si>
  <si>
    <t>Durum wheat</t>
  </si>
  <si>
    <t>Triticum</t>
  </si>
  <si>
    <t>ABA treated</t>
  </si>
  <si>
    <t>Hu_etal_2011_J Exp Biol</t>
  </si>
  <si>
    <t>FPRI</t>
  </si>
  <si>
    <t>APRI</t>
  </si>
  <si>
    <t>Horie_etal_2011_Plant Cell Physiol</t>
  </si>
  <si>
    <t>Salt stress</t>
  </si>
  <si>
    <t>Nedjimi_2009_Flora</t>
  </si>
  <si>
    <t>Lygeum spartum</t>
  </si>
  <si>
    <t>Lygeum</t>
  </si>
  <si>
    <t>Matsuo_etal_2009_Plant Soil</t>
  </si>
  <si>
    <t>Li_etal_2009_Environ Exp Bot</t>
  </si>
  <si>
    <t>Medicago falcata</t>
  </si>
  <si>
    <t>Medicago</t>
  </si>
  <si>
    <t>Fabaceae</t>
  </si>
  <si>
    <t>Murai-Hatano_etal_2008_Plant Cell Physiol</t>
  </si>
  <si>
    <t>Root temperature</t>
  </si>
  <si>
    <t>Gloser_etal_2007_J Exp Biol</t>
  </si>
  <si>
    <t>Nitrogen</t>
  </si>
  <si>
    <t>Beaudette_etal_2007_J Exp Biol</t>
  </si>
  <si>
    <t>Pisum sativa</t>
  </si>
  <si>
    <t>Pisum</t>
  </si>
  <si>
    <t>Araki_2006_Field Crops Res</t>
  </si>
  <si>
    <t>Soybean</t>
  </si>
  <si>
    <t>Glycine</t>
  </si>
  <si>
    <t>Flooded</t>
  </si>
  <si>
    <t>Zhao_etal_2005_J Integr Plant Biol</t>
  </si>
  <si>
    <t>Wheat</t>
  </si>
  <si>
    <t>Triticum boeoticum</t>
  </si>
  <si>
    <t>Triticum monococcum</t>
  </si>
  <si>
    <t>Triticum dicoccides</t>
  </si>
  <si>
    <t>Triticum dicoccon</t>
  </si>
  <si>
    <t>Triticum vulgare</t>
  </si>
  <si>
    <t>Triticum aestivum</t>
  </si>
  <si>
    <t>Trillo&amp;Fernandez_2005_Plant Soil</t>
  </si>
  <si>
    <t>Shimizu_etal_2005_Oecologia</t>
  </si>
  <si>
    <t>Shorea balangeran</t>
  </si>
  <si>
    <t>Shorea</t>
  </si>
  <si>
    <t>Dipterocarpaceae</t>
  </si>
  <si>
    <t>BET Tropical</t>
  </si>
  <si>
    <t>Shorea acuminata</t>
  </si>
  <si>
    <t>Shorea johorensis</t>
  </si>
  <si>
    <t>Shorea multiflora</t>
  </si>
  <si>
    <t>Macaranga gigantea</t>
  </si>
  <si>
    <t>Macaranga</t>
  </si>
  <si>
    <t>Euphorbiaceae</t>
  </si>
  <si>
    <t>Trema orientalis</t>
  </si>
  <si>
    <t>Trema</t>
  </si>
  <si>
    <t>Cannabaceae</t>
  </si>
  <si>
    <t>Siemens&amp;Zwiazek_2004_Physiol Plant</t>
  </si>
  <si>
    <t>Populus tremuloides</t>
  </si>
  <si>
    <t>BDT Boreal</t>
  </si>
  <si>
    <t>Ranathunge_etal_2003_Planta</t>
  </si>
  <si>
    <t>Wan_etal_2001_Tree Physiol</t>
  </si>
  <si>
    <t>Wan&amp;Zwiazek_2001_Planta</t>
  </si>
  <si>
    <t>Miyamoto_etal_2001_J Exp Biol</t>
  </si>
  <si>
    <t>Else_etal_2001_Physiol Plant</t>
  </si>
  <si>
    <t>Ricinus communis</t>
  </si>
  <si>
    <t>Ricinus</t>
  </si>
  <si>
    <t>Shrub</t>
  </si>
  <si>
    <t>BDS Temperate</t>
  </si>
  <si>
    <t>Flooding</t>
  </si>
  <si>
    <t>Cochard_etal_2000_J Exp Biol</t>
  </si>
  <si>
    <t>Quercus rubur</t>
  </si>
  <si>
    <t>Quercus</t>
  </si>
  <si>
    <t>Fagaceae</t>
  </si>
  <si>
    <t>Wan&amp;Zwiazek_1999_Plant Physiol</t>
  </si>
  <si>
    <t>Rieger&amp;Litvin_1999_J Exp Biol</t>
  </si>
  <si>
    <t>Asparagus</t>
  </si>
  <si>
    <t xml:space="preserve">	Asparagaceae</t>
  </si>
  <si>
    <t>Dendrobium</t>
  </si>
  <si>
    <t>Orchidaceae</t>
  </si>
  <si>
    <t>Peach</t>
  </si>
  <si>
    <t>Prunus</t>
  </si>
  <si>
    <t>Rosaceae</t>
  </si>
  <si>
    <t>Sour orange</t>
  </si>
  <si>
    <t>Citrus</t>
  </si>
  <si>
    <t>Rutaceae</t>
  </si>
  <si>
    <t>Huxman_etal_1999_New Phytol</t>
  </si>
  <si>
    <t>Larrea tridentata</t>
  </si>
  <si>
    <t>Larrea</t>
  </si>
  <si>
    <t>Zygophyllaceae</t>
  </si>
  <si>
    <t>BES Temperate</t>
  </si>
  <si>
    <t>Henzler_etal_1999_Planta</t>
  </si>
  <si>
    <t>Lotus japonicus</t>
  </si>
  <si>
    <t>Lotus</t>
  </si>
  <si>
    <t>Zimmermann&amp;Steudle_1998_Planta</t>
  </si>
  <si>
    <t>Hydroponic</t>
  </si>
  <si>
    <t>Aeroponics</t>
  </si>
  <si>
    <t>Nardini_etal_1998_Plant Ecol</t>
  </si>
  <si>
    <t>Fagus sylvatica</t>
  </si>
  <si>
    <t>Fagus</t>
  </si>
  <si>
    <t>Spring</t>
  </si>
  <si>
    <t>Summer</t>
  </si>
  <si>
    <t>Autumn</t>
  </si>
  <si>
    <t>Quercus ilex</t>
  </si>
  <si>
    <t>Quercus suber</t>
  </si>
  <si>
    <t>Quercus pubescens</t>
  </si>
  <si>
    <t>Acer campestre</t>
  </si>
  <si>
    <t>Acer</t>
  </si>
  <si>
    <t>Sapindaceae</t>
  </si>
  <si>
    <t>Castanea sativa</t>
  </si>
  <si>
    <t>Castanea</t>
  </si>
  <si>
    <t>Fraxinus ornus</t>
  </si>
  <si>
    <t>Fraxinus</t>
  </si>
  <si>
    <t>Fraxinus oxycarpa</t>
  </si>
  <si>
    <t>Ceratonia siliqua</t>
  </si>
  <si>
    <t xml:space="preserve">Ceratonia </t>
  </si>
  <si>
    <t>Olea oleaster</t>
  </si>
  <si>
    <t>Lo Gullo_etal_1998_New Phytol</t>
  </si>
  <si>
    <t>Yang&amp;Grantz_1996_Crop Sci</t>
  </si>
  <si>
    <t>Gossypium</t>
  </si>
  <si>
    <t>Malvaceae</t>
  </si>
  <si>
    <t>Jackson_etal_1996_Ann Bot</t>
  </si>
  <si>
    <t>Gallardo_etal_1996_J Exp Biol</t>
  </si>
  <si>
    <t>Narrow-leafed lupin</t>
  </si>
  <si>
    <t>Lupinus</t>
  </si>
  <si>
    <t>Maggio&amp;Joly_1995_Plant Physiol</t>
  </si>
  <si>
    <t>Hallgren_etal_1995_Book Chapter</t>
  </si>
  <si>
    <t>Picea abies</t>
  </si>
  <si>
    <t>Picea</t>
  </si>
  <si>
    <t>Pinaceae</t>
  </si>
  <si>
    <t>NET Temperate</t>
  </si>
  <si>
    <t>Pressure probe</t>
  </si>
  <si>
    <t>Pressure chamber</t>
  </si>
  <si>
    <t>Else_etal_1995_Plant Physiol</t>
  </si>
  <si>
    <t>Bolger_eatl_1992_Environ Exp Bot</t>
  </si>
  <si>
    <t>Cotton</t>
  </si>
  <si>
    <t>Berryman_etal_1991_Physiol Mol Plant Pathol</t>
  </si>
  <si>
    <t>Rust infection</t>
  </si>
  <si>
    <t>Infected</t>
  </si>
  <si>
    <t>Coleman_etal_1990_New Phytol</t>
  </si>
  <si>
    <t>Pseudotsuga menziesii</t>
  </si>
  <si>
    <t>Pseudotsuga</t>
  </si>
  <si>
    <t>Mycorrhiza</t>
  </si>
  <si>
    <t>NM</t>
  </si>
  <si>
    <t>Kruger&amp;Sucoff_1989_J Exp Biol</t>
  </si>
  <si>
    <t>Quercus rubra</t>
  </si>
  <si>
    <t>Joly_1989_Plant Physiol</t>
  </si>
  <si>
    <t>Tissera&amp;Ayres_1988_Physiol Mol Plant Pathol</t>
  </si>
  <si>
    <t>Vicia faba</t>
  </si>
  <si>
    <t>Vicia</t>
  </si>
  <si>
    <t>Andersen_etal_1988_New Phytol</t>
  </si>
  <si>
    <t>Fraxinus pennsylvanica</t>
  </si>
  <si>
    <t>Fiscus_1986_Plant Physiol</t>
  </si>
  <si>
    <t>Phaseolus vulgaris</t>
  </si>
  <si>
    <t>Phaseolus</t>
  </si>
  <si>
    <t>Miller_1985_Plant Physiol</t>
  </si>
  <si>
    <t>Fiscus&amp;Markhart_1979_Plant Physiol</t>
  </si>
  <si>
    <t>Tan_etal_2021_BMC Plant Biol</t>
  </si>
  <si>
    <t>Hypoxia</t>
  </si>
  <si>
    <t>Rodríguez-Gamir_etal_2019_Plant Cell Env</t>
  </si>
  <si>
    <t>Pinus radiata</t>
  </si>
  <si>
    <t>Pinus</t>
  </si>
  <si>
    <t>Ding_etal_2019_ Plant Physiol Biochem</t>
  </si>
  <si>
    <t>Korhonen_etal_2018_Tree Physiol</t>
  </si>
  <si>
    <t>Pinus sylvestris</t>
  </si>
  <si>
    <t>Geng_etal_2018_Plant Physiol</t>
  </si>
  <si>
    <t>Apple</t>
  </si>
  <si>
    <t>Malus</t>
  </si>
  <si>
    <t>Rodriguez-Gamir_etal_2016_PLoS One</t>
  </si>
  <si>
    <t>Poncirus trifoliata</t>
  </si>
  <si>
    <t>Cleopatra mandarin</t>
  </si>
  <si>
    <t>Ding_etal_2015_Plant Sci</t>
  </si>
  <si>
    <t>Vandeleur_etal_2014_Plant Cell Env</t>
  </si>
  <si>
    <t>Shoot-toped</t>
  </si>
  <si>
    <t>Defoliation</t>
  </si>
  <si>
    <t>Yang_etal_2013_Agric Water Manag</t>
  </si>
  <si>
    <t>Pear</t>
  </si>
  <si>
    <t>Pyrus</t>
  </si>
  <si>
    <t>Yang_etal_2012_Plant Cell Physiol</t>
  </si>
  <si>
    <t>Yang_etal_2011_Sci Hortic</t>
  </si>
  <si>
    <t>Yi_etal_2008_Environ Exp Bot</t>
  </si>
  <si>
    <t>Betula papyrifera</t>
  </si>
  <si>
    <t>Betulaceae</t>
  </si>
  <si>
    <t>Calvo Polanco_etal_2008_Plant Soil</t>
  </si>
  <si>
    <t>Ulmus americana</t>
  </si>
  <si>
    <t>Ulmus</t>
  </si>
  <si>
    <t>Ulmaceae</t>
  </si>
  <si>
    <t>Marjanovic_etal_2005_Planta</t>
  </si>
  <si>
    <t>Populus tremula x tremuloides</t>
  </si>
  <si>
    <t>Trifilo_etal_2004_Tree Physiol</t>
  </si>
  <si>
    <t>Ailanthus altissima</t>
  </si>
  <si>
    <t>Ailanthus</t>
  </si>
  <si>
    <t xml:space="preserve"> 	Simaroubaceae</t>
  </si>
  <si>
    <t>Islam&amp;macdonald_2004_Trees</t>
  </si>
  <si>
    <t>Picea mariana</t>
  </si>
  <si>
    <t>NET Boreal</t>
  </si>
  <si>
    <t>Larix laricina</t>
  </si>
  <si>
    <t>Larix</t>
  </si>
  <si>
    <t>NDT Boreal</t>
  </si>
  <si>
    <t>Tyree_etal_2003_Plant Physiol</t>
  </si>
  <si>
    <t>Calophyllum longifolium</t>
  </si>
  <si>
    <t>Clusiaceae</t>
  </si>
  <si>
    <t>Virola surinamensis</t>
  </si>
  <si>
    <t>Virola</t>
  </si>
  <si>
    <t>Myristicaceae</t>
  </si>
  <si>
    <t>Licania platypus</t>
  </si>
  <si>
    <t>Licania</t>
  </si>
  <si>
    <t>Chrysoblancaceae</t>
  </si>
  <si>
    <t>Dipteryx panamensis</t>
  </si>
  <si>
    <t>Dypterix</t>
  </si>
  <si>
    <t>Ouratea lucens</t>
  </si>
  <si>
    <t>Ochnaceae</t>
  </si>
  <si>
    <t>Kyllo_etal_2003_New Phytol</t>
  </si>
  <si>
    <t>Psychotria acuminata</t>
  </si>
  <si>
    <t>Palicourea</t>
  </si>
  <si>
    <t>Rubiaceae</t>
  </si>
  <si>
    <t xml:space="preserve">Psychotria marginata </t>
  </si>
  <si>
    <t>Piper culebranum</t>
  </si>
  <si>
    <t>Piper</t>
  </si>
  <si>
    <t>Piperaceae</t>
  </si>
  <si>
    <t>Piper aequale</t>
  </si>
  <si>
    <t>Piper cordulatum</t>
  </si>
  <si>
    <t>Siefritz_etal_2002_Plant Cell</t>
  </si>
  <si>
    <t>Tobacco</t>
  </si>
  <si>
    <t>Nicotiana</t>
  </si>
  <si>
    <t>Muhsin&amp;Zwiazek_2002_Plant Soil</t>
  </si>
  <si>
    <t>Bogeat-Triboulot_etal_2002_Ann For Sci</t>
  </si>
  <si>
    <t>Quercus robur</t>
  </si>
  <si>
    <t>Tsuda&amp;Tyree_2000_J Exp Biol</t>
  </si>
  <si>
    <t xml:space="preserve">Eggplant </t>
  </si>
  <si>
    <t>Green pepper</t>
  </si>
  <si>
    <t>Capsicum</t>
  </si>
  <si>
    <t>Nardini_etal_2000_Ann For Sci</t>
  </si>
  <si>
    <t>Nardini&amp;Pitt_1999_New Phytol</t>
  </si>
  <si>
    <t>Tyree_etal_1998_Oecologia</t>
  </si>
  <si>
    <t>Trichilia tuberculata</t>
  </si>
  <si>
    <t>Trichilia</t>
  </si>
  <si>
    <t>Meliaceae</t>
  </si>
  <si>
    <t>Pouteria reticulata</t>
  </si>
  <si>
    <t>Puteria</t>
  </si>
  <si>
    <t>Sapotaceae</t>
  </si>
  <si>
    <t>Gustavia superba</t>
  </si>
  <si>
    <t>Gustavia</t>
  </si>
  <si>
    <t>Rhizophoraceae</t>
  </si>
  <si>
    <t>Apeiba membranacea</t>
  </si>
  <si>
    <t>Apeiba</t>
  </si>
  <si>
    <t>Tiliaceae</t>
  </si>
  <si>
    <t>Miconia argentea</t>
  </si>
  <si>
    <t>Miconia</t>
  </si>
  <si>
    <t>Melastomataceae</t>
  </si>
  <si>
    <t>Creek_etal_2018_Plant Cell Env</t>
  </si>
  <si>
    <t>Vysotskaya_etal_2010_AoB Plants</t>
  </si>
  <si>
    <t>Rodriguez-Gamir_etal_2010_Physiol Plant</t>
  </si>
  <si>
    <t>Ruiz-Lozano_etal_2009_Plant Mol Biol</t>
  </si>
  <si>
    <t>Vandeleur_etal_2009_Plant Physiol</t>
  </si>
  <si>
    <t>Mahdieh_etal_2008_Plant Cell Physiol</t>
  </si>
  <si>
    <t>Thompson_etal_2007_Plant Physiol</t>
  </si>
  <si>
    <t>Aroca_etal_2006_Ann Bot</t>
  </si>
  <si>
    <t>Lian_etal_2004_Plant Cell Physiol</t>
  </si>
  <si>
    <t>Navarro_etal_2003_Plant Growth Regul</t>
  </si>
  <si>
    <t>Martre_etal_2001_Plant Cell Env</t>
  </si>
  <si>
    <t>Freundl_etal_2000_Planta</t>
  </si>
  <si>
    <t>Quintero_etal_1999_J Exp Biol</t>
  </si>
  <si>
    <t>Carvajal_1999_Physiol Plant</t>
  </si>
  <si>
    <t>Steudle&amp;Meshcheryakov_1996_J Exp Biol</t>
  </si>
  <si>
    <t>Carvajal_etal_1996_Planta</t>
  </si>
  <si>
    <t>Saliendra&amp;Meinzer_1992_J Exp Biol</t>
  </si>
  <si>
    <t>Sands_etal_1982_Aust J Plant Physiol</t>
  </si>
  <si>
    <t>Newman_1973_New Phytol</t>
  </si>
  <si>
    <t>50%_LI</t>
  </si>
  <si>
    <t>50%_UI</t>
  </si>
  <si>
    <t>50%conductivity_loss</t>
  </si>
  <si>
    <t>Acacia aneura</t>
  </si>
  <si>
    <t>Acacia</t>
  </si>
  <si>
    <t>Eucalyptus coolabah</t>
  </si>
  <si>
    <t>Eucalyptus populnea</t>
  </si>
  <si>
    <t>Myrtaceae</t>
  </si>
  <si>
    <t>Eucalyptus</t>
  </si>
  <si>
    <t>&gt;50%_lowerInterval</t>
  </si>
  <si>
    <t>&gt;50%conductivity_loss</t>
  </si>
  <si>
    <t>&gt;50%_upperInterval</t>
  </si>
  <si>
    <t>Root exudation</t>
  </si>
  <si>
    <t>M</t>
  </si>
  <si>
    <t>ABA</t>
  </si>
  <si>
    <t>Transgenic</t>
  </si>
  <si>
    <t>Pepper</t>
  </si>
  <si>
    <t>Festuca arundinacea</t>
  </si>
  <si>
    <t>Festuca</t>
  </si>
  <si>
    <t>Vacuum</t>
  </si>
  <si>
    <t>Paprika pepper</t>
  </si>
  <si>
    <t>Quercus petraea</t>
  </si>
  <si>
    <t>Sugarcane</t>
  </si>
  <si>
    <t>Saccharum</t>
  </si>
  <si>
    <t>Pressure vessel</t>
  </si>
  <si>
    <t>Pinus taeda</t>
  </si>
  <si>
    <t>Zhang&amp;Zwiazek_2016_PlantBiol</t>
  </si>
  <si>
    <t>Betula</t>
  </si>
  <si>
    <t>Cornus sericea</t>
  </si>
  <si>
    <t xml:space="preserve">Cornus </t>
  </si>
  <si>
    <t>Cornaceae</t>
  </si>
  <si>
    <t>BDS Boreal</t>
  </si>
  <si>
    <t>ph5</t>
  </si>
  <si>
    <t>ph7</t>
  </si>
  <si>
    <t>ph9</t>
  </si>
  <si>
    <t>Calvo Polanco_etal_2014_Plant Cell Physiol</t>
  </si>
  <si>
    <t>Calvo Polanco_etal_2012_BMC Plant Biol</t>
  </si>
  <si>
    <t>Colombo&amp;Asselstine_1989_Tree Physiol</t>
  </si>
  <si>
    <t>Hernandez&amp;Orioli_1985_Plant Soil</t>
  </si>
  <si>
    <t>Root_volume_cm3</t>
  </si>
  <si>
    <t>Fricke_etal_2014_Funct Plant Biol</t>
  </si>
  <si>
    <t>Knipfer_etal_2011_J Exp Biol</t>
  </si>
  <si>
    <t>Parent_etal_2009_Plant Physiol</t>
  </si>
  <si>
    <t>Mu_etal_2006_Bot Stud</t>
  </si>
  <si>
    <t>Low P</t>
  </si>
  <si>
    <t>Low N</t>
  </si>
  <si>
    <t>Smith&amp;Roberts_2003_Plant Soil</t>
  </si>
  <si>
    <t>Grevillea robusta</t>
  </si>
  <si>
    <t>Grevillea</t>
  </si>
  <si>
    <t>Proteaceae</t>
  </si>
  <si>
    <t>Zhang_etal_1995_New Phytol</t>
  </si>
  <si>
    <t>Fiscus_1977_Plant Physiol</t>
  </si>
  <si>
    <t>Hose_etal_2000_Planta</t>
  </si>
  <si>
    <t>Rudinger_etal_1994_J Exp Biol</t>
  </si>
  <si>
    <t>Brar_etal_1991_Agron J</t>
  </si>
  <si>
    <t>Bramley_etal_2009_Plant Physiol</t>
  </si>
  <si>
    <t>Yellow lupin</t>
  </si>
  <si>
    <t>Siemens&amp;Zwiazek_2008_Mycorrhiza</t>
  </si>
  <si>
    <t>Populus balsamifera</t>
  </si>
  <si>
    <t>Knipfer&amp;Fricke_2011_J Exp Biol</t>
  </si>
  <si>
    <t>Lee_et_al_2004_Physiol Plant</t>
  </si>
  <si>
    <t>Cucumis</t>
  </si>
  <si>
    <t>Cucurbitaceae</t>
  </si>
  <si>
    <t>Cucumber</t>
  </si>
  <si>
    <t>Calophyllum</t>
  </si>
  <si>
    <t>Ouratea</t>
  </si>
  <si>
    <t>AQP</t>
  </si>
  <si>
    <t>Gas exchange system</t>
  </si>
  <si>
    <t>Nardini_etal_1998_Plant Biosyst</t>
  </si>
  <si>
    <t>Karmoker_etal_1991_Planta</t>
  </si>
  <si>
    <t>Value_type</t>
  </si>
  <si>
    <t>treatment min</t>
  </si>
  <si>
    <t>treatment average</t>
  </si>
  <si>
    <t>treatment max</t>
  </si>
  <si>
    <t>Light</t>
  </si>
  <si>
    <t>OUC613</t>
  </si>
  <si>
    <t>OUE812</t>
  </si>
  <si>
    <t>IP4952</t>
  </si>
  <si>
    <t>IP17150</t>
  </si>
  <si>
    <t>Hebeloma</t>
  </si>
  <si>
    <t>S. luteus</t>
  </si>
  <si>
    <t>LDHT</t>
  </si>
  <si>
    <t>SDLT</t>
  </si>
  <si>
    <t>Conductivity loss</t>
  </si>
  <si>
    <t>Hipoxia_Ethylene</t>
  </si>
  <si>
    <t>Drought_Isohydricity</t>
  </si>
  <si>
    <t>Azucena</t>
  </si>
  <si>
    <t>Moroberekan</t>
  </si>
  <si>
    <t>FR13 A</t>
  </si>
  <si>
    <t>Dular</t>
  </si>
  <si>
    <t>IR64</t>
  </si>
  <si>
    <t>Swarna</t>
  </si>
  <si>
    <t>U070</t>
  </si>
  <si>
    <t>A627</t>
  </si>
  <si>
    <t>C613</t>
  </si>
  <si>
    <t>I186</t>
  </si>
  <si>
    <t>101-14</t>
  </si>
  <si>
    <t>110R</t>
  </si>
  <si>
    <t>Shanyou63</t>
  </si>
  <si>
    <t>Yangdao6</t>
  </si>
  <si>
    <t>Defoliation50%</t>
  </si>
  <si>
    <t>Defoliation75%</t>
  </si>
  <si>
    <t>Shoot topping</t>
  </si>
  <si>
    <t>Defoliation_Girdling</t>
  </si>
  <si>
    <t>Girdling</t>
  </si>
  <si>
    <t>RIL043</t>
  </si>
  <si>
    <t>RIL127</t>
  </si>
  <si>
    <t>RIL149</t>
  </si>
  <si>
    <t>RIL200</t>
  </si>
  <si>
    <t>Salt stress 100mM</t>
  </si>
  <si>
    <t>Salt stress 200mM</t>
  </si>
  <si>
    <t>T-1</t>
  </si>
  <si>
    <t>20-45</t>
  </si>
  <si>
    <t>Beodien</t>
  </si>
  <si>
    <t>Sensho</t>
  </si>
  <si>
    <t>Koshihikari</t>
  </si>
  <si>
    <t>H69-8235</t>
  </si>
  <si>
    <t>H65-7052</t>
  </si>
  <si>
    <t>Laccaria</t>
  </si>
  <si>
    <t>Thelephora</t>
  </si>
  <si>
    <t>Rhizopogon</t>
  </si>
  <si>
    <t>Chardonnay</t>
  </si>
  <si>
    <t>Grenache</t>
  </si>
  <si>
    <t>AQP_ABA</t>
  </si>
  <si>
    <t>ABA inhibited</t>
  </si>
  <si>
    <t>ABA enhanced</t>
  </si>
  <si>
    <t>Hydroponics</t>
  </si>
  <si>
    <t>Soil</t>
  </si>
  <si>
    <t>Irrigation</t>
  </si>
  <si>
    <t>Water saving</t>
  </si>
  <si>
    <t xml:space="preserve">Hebeloma </t>
  </si>
  <si>
    <t>Wilcoxina</t>
  </si>
  <si>
    <t>Hebeloma+Laccaria</t>
  </si>
  <si>
    <t>Soil compactation</t>
  </si>
  <si>
    <t>ABA treated 1um</t>
  </si>
  <si>
    <t>ABA treated 10um</t>
  </si>
  <si>
    <t>ABA treated 100um</t>
  </si>
  <si>
    <t>Drought moderate</t>
  </si>
  <si>
    <t>Shade</t>
  </si>
  <si>
    <t>Sun</t>
  </si>
  <si>
    <t>Drought severe</t>
  </si>
  <si>
    <t>Dessication</t>
  </si>
  <si>
    <t>Wilted</t>
  </si>
  <si>
    <t>Wilted slightly</t>
  </si>
  <si>
    <t>Wilted severely</t>
  </si>
  <si>
    <t>High light</t>
  </si>
  <si>
    <t>Low light</t>
  </si>
  <si>
    <t>Greenhouse</t>
  </si>
  <si>
    <t>Chamber</t>
  </si>
  <si>
    <t>Potted</t>
  </si>
  <si>
    <t>CO2</t>
  </si>
  <si>
    <t>Pre-dawn</t>
  </si>
  <si>
    <t>Mid-morning</t>
  </si>
  <si>
    <t>Mid-afternoon</t>
  </si>
  <si>
    <t>End of day</t>
  </si>
  <si>
    <t>Day</t>
  </si>
  <si>
    <t>Night</t>
  </si>
  <si>
    <t>Midday</t>
  </si>
  <si>
    <t>Tr suppresed</t>
  </si>
  <si>
    <t>Tr reduced</t>
  </si>
  <si>
    <t>Reduced temp</t>
  </si>
  <si>
    <t>Hydroponcis</t>
  </si>
  <si>
    <t>Sand</t>
  </si>
  <si>
    <t>P 1um</t>
  </si>
  <si>
    <t>P 10um</t>
  </si>
  <si>
    <t>P 100um</t>
  </si>
  <si>
    <t>Aluminium toxicity_Calcium concentration</t>
  </si>
  <si>
    <t>Calcium low</t>
  </si>
  <si>
    <t>Al medium</t>
  </si>
  <si>
    <t>Al high</t>
  </si>
  <si>
    <t>G90</t>
  </si>
  <si>
    <t>G97</t>
  </si>
  <si>
    <t>R4</t>
  </si>
  <si>
    <t>Brown roots (suberized)</t>
  </si>
  <si>
    <t>White roots (unsuberized)</t>
  </si>
  <si>
    <t>Suberization</t>
  </si>
  <si>
    <t>Irrigation_Water amount</t>
  </si>
  <si>
    <t>Irrigation_Nutrients</t>
  </si>
  <si>
    <t>Barigah_etal_2006_Tree Physiol</t>
  </si>
  <si>
    <t>4% full sunlight</t>
  </si>
  <si>
    <t>Acer pseudoplatanus</t>
  </si>
  <si>
    <t>Betula pendula</t>
  </si>
  <si>
    <t>Fraxinus excelsior</t>
  </si>
  <si>
    <t>16% full sunlight</t>
  </si>
  <si>
    <t>36% full sunlight</t>
  </si>
  <si>
    <t>Marchiol_etal_1996_J Environ Qual</t>
  </si>
  <si>
    <t>Illini</t>
  </si>
  <si>
    <t>Richard</t>
  </si>
  <si>
    <t>Cadmium treated</t>
  </si>
  <si>
    <t>Tyree_etal_2002_J Exp Biol</t>
  </si>
  <si>
    <t xml:space="preserve">Licania platypus </t>
  </si>
  <si>
    <t>Chrysobalanceae</t>
  </si>
  <si>
    <t>Nardini&amp;Tyree_1999_Ann For Sci</t>
  </si>
  <si>
    <t>Quercus alba</t>
  </si>
  <si>
    <t>Quercus cerris</t>
  </si>
  <si>
    <t>Gartwaite_etal_2006_J Exp Bot</t>
  </si>
  <si>
    <t>Stagnant</t>
  </si>
  <si>
    <t>Hordeum marinum</t>
  </si>
  <si>
    <t>Fennel&amp;Markhart_1998_J Exp Bot</t>
  </si>
  <si>
    <t>Spinach</t>
  </si>
  <si>
    <t>Spinacia</t>
  </si>
  <si>
    <t>Amaranthaceae</t>
  </si>
  <si>
    <t>Harbin</t>
  </si>
  <si>
    <t>Bloomsdale</t>
  </si>
  <si>
    <t>Magnani_etal_1996_Planta</t>
  </si>
  <si>
    <t>Cherry</t>
  </si>
  <si>
    <t>Pressure clamp</t>
  </si>
  <si>
    <t>Henry_etal_2016_Ann Bot</t>
  </si>
  <si>
    <t>N22</t>
  </si>
  <si>
    <t>MTU1010</t>
  </si>
  <si>
    <t>Liu_etal_2014_Planta</t>
  </si>
  <si>
    <t>Henry_etal_2012_J Exp Bot</t>
  </si>
  <si>
    <t>Jimenez-Casas&amp;Zwiazek_2014_Ann For Sci</t>
  </si>
  <si>
    <t>Pinus leiophylla</t>
  </si>
  <si>
    <t>Salt stress 150mM</t>
  </si>
  <si>
    <t>Salt stress 30mM</t>
  </si>
  <si>
    <t>Salt stress 60mM</t>
  </si>
  <si>
    <t>Salt stress 90mM</t>
  </si>
  <si>
    <t>Salt steess -0.13MPa</t>
  </si>
  <si>
    <t>Salt steess -0.17MPa</t>
  </si>
  <si>
    <t>Salt steess -0.20MPa</t>
  </si>
  <si>
    <t>Salt steess -0.23MPa</t>
  </si>
  <si>
    <t>Salt steess -0.26MPa</t>
  </si>
  <si>
    <t>Apostol_etal_2004_Plant Soil</t>
  </si>
  <si>
    <t xml:space="preserve">Pinus banksiana </t>
  </si>
  <si>
    <t>Salt stress_Naphtenic acid</t>
  </si>
  <si>
    <t>Naphtenic acid</t>
  </si>
  <si>
    <t>Sharipova_etal_2016_Ann Bot</t>
  </si>
  <si>
    <t>Steptoe</t>
  </si>
  <si>
    <t>Az34</t>
  </si>
  <si>
    <t>Barzana_etal_2012_Ann Bot</t>
  </si>
  <si>
    <t>Melkonian_etal_2004_J Exp Bot</t>
  </si>
  <si>
    <t>Reduced temperature</t>
  </si>
  <si>
    <t>Rasheed-Depardieu_etal_2015_Plant Physiol Biochem</t>
  </si>
  <si>
    <t>Waterlogging</t>
  </si>
  <si>
    <t>Voicu&amp;Zwiazek_2004_Plant Cell Env</t>
  </si>
  <si>
    <t>Hess_etal_2015_Ann Appl Biol</t>
  </si>
  <si>
    <t>Brassica</t>
  </si>
  <si>
    <t>Brassicaceae</t>
  </si>
  <si>
    <t>Li_etal_2020_Physiol Plant</t>
  </si>
  <si>
    <t>Leymus chinensis</t>
  </si>
  <si>
    <t>Leymus</t>
  </si>
  <si>
    <t>No P</t>
  </si>
  <si>
    <t>Aroca_etal_2001_Plant Physiol Biochem</t>
  </si>
  <si>
    <t>Penjalinan</t>
  </si>
  <si>
    <t>Z7</t>
  </si>
  <si>
    <t>Liu_etal_2020_Plant Soil</t>
  </si>
  <si>
    <t>Brassica napus</t>
  </si>
  <si>
    <t>Watanabe_etal_2020_Plant Prod Sci</t>
  </si>
  <si>
    <t>IRAT 109</t>
  </si>
  <si>
    <t>Taichung 65</t>
  </si>
  <si>
    <t>Osmotic stress-0.2MPa</t>
  </si>
  <si>
    <t>Osmotic stress-0.4MPa</t>
  </si>
  <si>
    <t>Osmotic stress-0.6MPa</t>
  </si>
  <si>
    <t>Nutrient limitation</t>
  </si>
  <si>
    <t>AQP_Nutrient limitation</t>
  </si>
  <si>
    <t>Drought_Nutrient limitation</t>
  </si>
  <si>
    <t>No S</t>
  </si>
  <si>
    <t>No N</t>
  </si>
  <si>
    <t>Nutrient limitation_Transpiration</t>
  </si>
  <si>
    <t>Phosphorus application</t>
  </si>
  <si>
    <t>Tsuda&amp;Tyree_1997_Tree Physiol</t>
  </si>
  <si>
    <t>Acer saccharinum</t>
  </si>
  <si>
    <t>Zwienicki&amp;Boersma_1997_J Exp Bot</t>
  </si>
  <si>
    <t>Grünhofer_et_al_2021_Plant Methods</t>
  </si>
  <si>
    <t>P. alba x P. tremula</t>
  </si>
  <si>
    <t>Osmotic solutions</t>
  </si>
  <si>
    <t>Gonzalez‑Benecke_etal_2022_New Forests</t>
  </si>
  <si>
    <t>Liu_etal_2022_Front Plant Sci</t>
  </si>
  <si>
    <t>Elymus sibiricus</t>
  </si>
  <si>
    <t>Elymus</t>
  </si>
  <si>
    <t>drought-sensitive</t>
  </si>
  <si>
    <t>drought-tolerant</t>
  </si>
  <si>
    <t>Hydrostatic</t>
  </si>
  <si>
    <t>Osmotic</t>
  </si>
  <si>
    <t>Driving_force</t>
  </si>
  <si>
    <t>NET</t>
  </si>
  <si>
    <t>Crop woody</t>
  </si>
  <si>
    <t>Crop forb</t>
  </si>
  <si>
    <t>Crop monocot</t>
  </si>
  <si>
    <t>BDT</t>
  </si>
  <si>
    <t>BET</t>
  </si>
  <si>
    <t>Crop legume</t>
  </si>
  <si>
    <t>NDT</t>
  </si>
  <si>
    <t>Isohydric</t>
  </si>
  <si>
    <t>Anisohydric</t>
  </si>
  <si>
    <t>Ehtylene</t>
  </si>
  <si>
    <t>Salt stress_Genotype</t>
  </si>
  <si>
    <t>Drought_Genotype</t>
  </si>
  <si>
    <t>Waterlogging_Growth stage</t>
  </si>
  <si>
    <t>Seedling</t>
  </si>
  <si>
    <t>Flowering</t>
  </si>
  <si>
    <t>Podding</t>
  </si>
  <si>
    <t>AQP_Genotype</t>
  </si>
  <si>
    <t>Wild type (normal)</t>
  </si>
  <si>
    <t>RNAi1 (root development underexpressed)</t>
  </si>
  <si>
    <t>OE23 (root development overexpressed)</t>
  </si>
  <si>
    <t>RNAi57 (root development underexpressed)</t>
  </si>
  <si>
    <t>OE18 (root development underexpressed)</t>
  </si>
  <si>
    <t>OE1 (root development overexpressed)</t>
  </si>
  <si>
    <t>OE19 (root development overexpressed)</t>
  </si>
  <si>
    <t>AQP_ABA_Genotype</t>
  </si>
  <si>
    <t>Drought_VPD_Genotype</t>
  </si>
  <si>
    <t>Drought_AQP_Genotype</t>
  </si>
  <si>
    <t>Ammonium</t>
  </si>
  <si>
    <t>Nitrate</t>
  </si>
  <si>
    <t>Drought_Nitrogen form_Genotype</t>
  </si>
  <si>
    <t>Flooding_Mycorrhiza</t>
  </si>
  <si>
    <t>W1</t>
  </si>
  <si>
    <t>W2</t>
  </si>
  <si>
    <t>W3</t>
  </si>
  <si>
    <t>ADI</t>
  </si>
  <si>
    <t>FDI</t>
  </si>
  <si>
    <t>N1</t>
  </si>
  <si>
    <t>Drought_Mycorrhiza</t>
  </si>
  <si>
    <t>N2</t>
  </si>
  <si>
    <t>P1</t>
  </si>
  <si>
    <t>CK</t>
  </si>
  <si>
    <t>CDI</t>
  </si>
  <si>
    <t>Drought_ABA_Mycorrhiza</t>
  </si>
  <si>
    <t>Irrigation_Culture_Genotype</t>
  </si>
  <si>
    <t>Salt stress_Mycorrhiza</t>
  </si>
  <si>
    <t>Salt stress_Soil compactation_Mycorrhiza</t>
  </si>
  <si>
    <t>Root-zone O2_Culture</t>
  </si>
  <si>
    <t>CO2-</t>
  </si>
  <si>
    <t>CO2+</t>
  </si>
  <si>
    <t>O2-</t>
  </si>
  <si>
    <t>AQP_Shading</t>
  </si>
  <si>
    <t>AQP_Mycorrhiza</t>
  </si>
  <si>
    <t>Root temperature_Genotype</t>
  </si>
  <si>
    <t>ABA_Culture</t>
  </si>
  <si>
    <t>April</t>
  </si>
  <si>
    <t>July</t>
  </si>
  <si>
    <t>Oct</t>
  </si>
  <si>
    <t>Field</t>
  </si>
  <si>
    <t>Transpiration_Diurnal cycle</t>
  </si>
  <si>
    <t>Cadmium sensitivity_Genotype</t>
  </si>
  <si>
    <t>0cm</t>
  </si>
  <si>
    <t>5.4cm</t>
  </si>
  <si>
    <t>77.1cm</t>
  </si>
  <si>
    <t>88.2cm</t>
  </si>
  <si>
    <t>152.4cm</t>
  </si>
  <si>
    <t>0.5 hours</t>
  </si>
  <si>
    <t>3.5 hours</t>
  </si>
  <si>
    <t>9.5 hours</t>
  </si>
  <si>
    <t>10.5 hours</t>
  </si>
  <si>
    <t>12.5 hours</t>
  </si>
  <si>
    <t>13.5 hours</t>
  </si>
  <si>
    <t>14.5 hours</t>
  </si>
  <si>
    <t>15.5 hours</t>
  </si>
  <si>
    <t>16.5 hours</t>
  </si>
  <si>
    <t>18.5 hours</t>
  </si>
  <si>
    <t>19.5 hours</t>
  </si>
  <si>
    <t>20.5 hours</t>
  </si>
  <si>
    <t>21.5 hours</t>
  </si>
  <si>
    <t>23.5 hours</t>
  </si>
  <si>
    <t>Suberization_Mycorrhiza</t>
  </si>
  <si>
    <t>Drought_Genotype_Diurnal cycle</t>
  </si>
  <si>
    <t>Nutrient limitation_Diurnal cycle</t>
  </si>
  <si>
    <t>whole</t>
  </si>
  <si>
    <t>Elevated</t>
  </si>
  <si>
    <t>0.85VPD</t>
  </si>
  <si>
    <t>1.32VPD</t>
  </si>
  <si>
    <t>2.55VPD</t>
  </si>
  <si>
    <t>3.97VPD</t>
  </si>
  <si>
    <t>whole root system</t>
  </si>
  <si>
    <t>AQPenhancement</t>
  </si>
  <si>
    <t>AQPinhibition</t>
  </si>
  <si>
    <t>Graminoid</t>
  </si>
  <si>
    <t>Tree</t>
  </si>
  <si>
    <t>Growth_form</t>
  </si>
  <si>
    <t>Other</t>
  </si>
  <si>
    <t>Jones_etal_1988_Planta</t>
  </si>
  <si>
    <t>Back-flow technique</t>
  </si>
  <si>
    <t>Ruggiero&amp;Angelino_2007_Ital J Agron</t>
  </si>
  <si>
    <t>AQP_Fertilization</t>
  </si>
  <si>
    <t>Non-fertilized</t>
  </si>
  <si>
    <t>Hernandez-Espinoza&amp;Barrios-Masias_2020_Sci Hortic</t>
  </si>
  <si>
    <t>Drought_Rootstock</t>
  </si>
  <si>
    <t>Osmotic stress_Silicon</t>
  </si>
  <si>
    <t>Salt stress_Stress solution</t>
  </si>
  <si>
    <t>NaCl</t>
  </si>
  <si>
    <t>Sorbitol</t>
  </si>
  <si>
    <t>O2_CO2_Growth stage</t>
  </si>
  <si>
    <t>Vegetative</t>
  </si>
  <si>
    <t>Anthesis</t>
  </si>
  <si>
    <t>Vysotskaya_etal_2004_Plan Physiol Biochem</t>
  </si>
  <si>
    <t>Salt stress_Salt type</t>
  </si>
  <si>
    <t>Na2SO4</t>
  </si>
  <si>
    <t>Lucena_etal_2003_Physiol Plant</t>
  </si>
  <si>
    <t>Root temperature_Mycorrhiza</t>
  </si>
  <si>
    <t>Muhsin&amp;Zwiazek_2002_New Phytol</t>
  </si>
  <si>
    <t>Picea glauca</t>
  </si>
  <si>
    <t>Kamaluddin&amp;Zwiazek_2002_Plant Physiol</t>
  </si>
  <si>
    <t>Dark</t>
  </si>
  <si>
    <t>Salim&amp;Pitman_1983_J Exp Biol</t>
  </si>
  <si>
    <t>Jones_etal_1983_Planta</t>
  </si>
  <si>
    <t>Calculated</t>
  </si>
  <si>
    <t>Measurement_method</t>
  </si>
  <si>
    <t>Root_type</t>
  </si>
  <si>
    <t>2.5MPa</t>
  </si>
  <si>
    <t>4MPa</t>
  </si>
  <si>
    <t>Culture</t>
  </si>
  <si>
    <t>Treatment_level1</t>
  </si>
  <si>
    <t>Treatment_level2</t>
  </si>
  <si>
    <t>Treatment_level3</t>
  </si>
  <si>
    <t>Growth environment</t>
  </si>
  <si>
    <t>Growth environment_month</t>
  </si>
  <si>
    <t>Genotype</t>
  </si>
  <si>
    <t>Diurnal cycle</t>
  </si>
  <si>
    <t>Evolution genotype</t>
  </si>
  <si>
    <t>Culture_Genotype</t>
  </si>
  <si>
    <t>Diurnal trend</t>
  </si>
  <si>
    <t>Hardening_Mycorrhiza</t>
  </si>
  <si>
    <t>pH</t>
  </si>
  <si>
    <t>Irradiance</t>
  </si>
  <si>
    <t>Irradiance_Mycorrhiza</t>
  </si>
  <si>
    <t>Season</t>
  </si>
  <si>
    <t>White root length</t>
  </si>
  <si>
    <t>Treatment_type1</t>
  </si>
  <si>
    <t>No treatment</t>
  </si>
  <si>
    <t>Treatment_type2</t>
  </si>
  <si>
    <t>Experimental_treatment</t>
  </si>
  <si>
    <t>Treatment_type3</t>
  </si>
  <si>
    <t>Broadleaf tree</t>
  </si>
  <si>
    <t>Needle tree</t>
  </si>
  <si>
    <t>Tropical tree</t>
  </si>
  <si>
    <t>Fruit tree</t>
  </si>
  <si>
    <t>Liu&amp;Zwiazek_2022_Environ Exp Bot</t>
  </si>
  <si>
    <t>Ranathunge&amp;Schneider_2011_J Exp Bot</t>
  </si>
  <si>
    <t>Arabidopsis thaliana</t>
  </si>
  <si>
    <t>Arabidopsis</t>
  </si>
  <si>
    <t>horst</t>
  </si>
  <si>
    <t>Col8</t>
  </si>
  <si>
    <t>Col0</t>
  </si>
  <si>
    <t>esb1-1</t>
  </si>
  <si>
    <t>esb1-2</t>
  </si>
  <si>
    <t>Conductance_reported_calculated</t>
  </si>
  <si>
    <t>Reported</t>
  </si>
  <si>
    <t>Forb</t>
  </si>
  <si>
    <t>C3 forb</t>
  </si>
  <si>
    <t>Sutka_etal_2011_Plant Physiol</t>
  </si>
  <si>
    <t>An-1</t>
  </si>
  <si>
    <t>Blh-1</t>
  </si>
  <si>
    <t>Bur-0</t>
  </si>
  <si>
    <t>Col-0</t>
  </si>
  <si>
    <t>Ct-1</t>
  </si>
  <si>
    <t>Cvi-0</t>
  </si>
  <si>
    <t>Di-M</t>
  </si>
  <si>
    <t>Ita-0</t>
  </si>
  <si>
    <t>Jea</t>
  </si>
  <si>
    <t>Ler</t>
  </si>
  <si>
    <t>Mr-0</t>
  </si>
  <si>
    <t>Oy-0</t>
  </si>
  <si>
    <t>Sha</t>
  </si>
  <si>
    <t>Stress</t>
  </si>
  <si>
    <t>Boursiac_etal_2005_Plant Physiol</t>
  </si>
  <si>
    <t>Salt stress 50mM</t>
  </si>
  <si>
    <t>Salt stress 25mM</t>
  </si>
  <si>
    <t>Javot_etal_2003_Plant Cell</t>
  </si>
  <si>
    <t>pip2,2-1</t>
  </si>
  <si>
    <t>pip2,2-2</t>
  </si>
  <si>
    <t>Martínez-Ballesta_etal_2003_J Plant Physiol</t>
  </si>
  <si>
    <t>AQP_Salt stress</t>
  </si>
  <si>
    <t>PFT</t>
  </si>
  <si>
    <t>Crop herbaceous</t>
  </si>
  <si>
    <t>PFT_level1</t>
  </si>
  <si>
    <t>PFT_level2</t>
  </si>
  <si>
    <t>Crop dicot</t>
  </si>
  <si>
    <t>Krs</t>
  </si>
  <si>
    <t>Krs_FW</t>
  </si>
  <si>
    <t>Krs_DW</t>
  </si>
  <si>
    <t>Krs_length</t>
  </si>
  <si>
    <t>Krs_vol</t>
  </si>
  <si>
    <t>Krs_area</t>
  </si>
  <si>
    <t>Krs_leaf_area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</si>
</sst>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E+00"/>
    <numFmt numFmtId="166" formatCode="0.000"/>
    <numFmt numFmtId="167" formatCode="0.0000"/>
  </numFmts>
  <fonts count="7" x14ac:knownFonts="1">
    <font>
      <sz val="11"/>
      <color theme="1"/>
      <name val="Calibri"/>
      <family val="2"/>
      <scheme val="minor"/>
    </font>
    <font>
      <b/>
      <sz val="9"/>
      <color indexed="81"/>
      <name val="Tahoma"/>
      <family val="2"/>
    </font>
    <font>
      <sz val="9"/>
      <color indexed="81"/>
      <name val="Tahoma"/>
      <family val="2"/>
    </font>
    <font>
      <sz val="7"/>
      <color rgb="FF000000"/>
      <name val="AdvOT596495f2"/>
    </font>
    <font>
      <sz val="8"/>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1" fontId="0" fillId="0" borderId="0" xfId="0" applyNumberFormat="1"/>
    <xf numFmtId="2"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applyAlignment="1">
      <alignment wrapText="1"/>
    </xf>
    <xf numFmtId="0" fontId="3" fillId="0" borderId="0" xfId="0" applyFont="1"/>
    <xf numFmtId="0" fontId="0" fillId="0" borderId="0" xfId="0" applyAlignment="1">
      <alignment vertical="center" wrapText="1"/>
    </xf>
    <xf numFmtId="1" fontId="0" fillId="0" borderId="0" xfId="0" applyNumberFormat="1"/>
    <xf numFmtId="167" fontId="0" fillId="0" borderId="0" xfId="0" applyNumberFormat="1"/>
  </cellXfs>
  <cellStyles count="1">
    <cellStyle name="Normal" xfId="0" builtinId="0"/>
  </cellStyles>
  <dxfs count="1">
    <dxf>
      <fill>
        <patternFill patternType="solid">
          <fgColor rgb="FFD9E1F2"/>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6" Type="http://schemas.openxmlformats.org/officeDocument/2006/relationships/externalLink" Target="externalLinks/externalLink1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28" Type="http://schemas.openxmlformats.org/officeDocument/2006/relationships/sharedStrings" Target="sharedStrings.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18" Type="http://schemas.openxmlformats.org/officeDocument/2006/relationships/externalLink" Target="externalLinks/externalLink117.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calcChain" Target="calcChain.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theme" Target="theme/theme1.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styles" Target="styles.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6" Type="http://schemas.openxmlformats.org/officeDocument/2006/relationships/externalLink" Target="externalLinks/externalLink2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igitilized_data/Krs/Liu_etal_2022_Fig3b_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igitilized_data/Krs/Li_etal_2020_Fig2ac.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digitilized_data/Krs/Kamaluddin&amp;Zwiazek_2002_Fig1b.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digitilized_data/Krs/Martre_etal_2001_Fig6a.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digitilized_data/Krs/Martre_etal_2001_Fig6b.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digitilized_data/Krs/Else_etal_2001_Fig3b.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digitilized_data/Krs/Aroca_etal_2001_Fig2.xlsx"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digitilized_data/Krs/Tsuda&amp;Tyree_2000_Fig1.xlsx"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digitilized_data/Krs/Nardini&amp;Tyree_1999_Fig1.xlsx"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digitilized_data/Krs/Carvajal_etal_1999_Fig1b.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digitilized_data/Krs/Carvajal_etal_1999_Fig3b.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digitilized_data/Krs/Tyree_etal_1998_Fig4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igitilized_data/Krs/Li_etal_2020_Fig1d.xlsx"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digitilized_data/Krs/Tyree_etal_1998_Fig3a.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digitilized_data/Krs/Tyree_etal_1998_Fig4b.xlsx"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digitilized_data/Krs/Nardini_etal_1998_Fig3.xlsx"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digitilized_data/Krs/Nardini_etal_1998b_Fig4.xlsx"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digitilized_data/Krs/Yang&amp;Grantz_1996_Fig7.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digitilized_data/Krs/Else_etal_1995_Fig3.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digitilized_data/Krs/Bolger_etal_1992_Fig2.xlsx"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digitilized_data/Krs/Bolger_etal_1992_Fig6.xlsx"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digitilized_data/Krs/Karkomer_etal_1991_Fig2b.xlsx"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digitilized_data/Krs/Brar_etal_1991_Fig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igitilized_data/Krs/Hernandes&amp;Barrios_2020_Fig1.xlsx"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digitilized_data/Krs/Berryman_etal_1991_Fig2.xlsx"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digitilized_data/Krs/Joly_1989_Fig2.xlsx"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digitilized_data/Krs/Tissera&amp;Ayres_1988_Fig2.xlsx"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digitilized_data/Krs/Fiscus_1986_Fig5.xlsx"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digitilized_data/Krs/Fiscus&amp;Markhart_1979_Fig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igitilized_data/Krs/Gavassi_etal_2020_Fig3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igitilized_data/Krs/Dayer_etal_2020_Fig5b.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igitilized_data/Krs/Rodriguez-Gamir_etal_2019_Fig2f.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igitilized_data/Krs/Ding_etal_2019_Fig4.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igitilized_data/Krs/Geng_etal_2018_Fig3.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igitilized_data/Krs/Geng_etal_2018_Fig2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igitilized_data/Krs/Creek_etal_2018_Fig2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igitilized_data/Krs/Liu&amp;Zwiazek_2022_Fig2c.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igitilized_data/Krs/Creek_etal_2018_Fig2b.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igitilized_data/Krs/Creek_etal_2018_Fig2c.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igitilized_data/Krs/Shi_etal_2016_Fig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igitilized_data/Krs/Niu_etal_2016_Fig1a_c.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digitilized_data/Krs/Niu_etal_2016_Fig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igitilized_data/Krs/Henry_etal_2016_Fig2b.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digitilized_data/Krs/Henry_etal_2016_FigS2b.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igitilized_data/Krs/Henry_etal_2016_Fig2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igitilized_data/Krs/Henry_etal_2016_FigS2a.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igitilized_data/Krs/Rasheed-Depardieu_etal_2015_Fig4c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igitilized_data/Krs/Liu&amp;Zwiazek_2022_Fig1b.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digitilized_data/Krs/Kaneko_etal_2015_FigS1.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igitilized_data/Krs/Ding_etal_2015_Fig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igitilized_data/Krs/Barrios-Masias_etal_2015_Fig5.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igitilized_data/Krs/Barrios-Masias_etal_2015_Fig4c.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digitilized_data/Krs/Liu_etal_2014_Fig2a.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digitilized_data/Krs/Liu_etal_2014_Fig4.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igitilized_data/Krs/Liu_etal_2014_Fig7b.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digitilized_data/Krs/Liu_etal_2014_Fig7c.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digitilized_data/Krs/Jimenez-Casas&amp;Zwiazek_2014_Fig4c.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digitilized_data/Krs/Fricke_etal_2014_Fig2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igitilized_data/Krs/Tan_etal_2021_Fig2.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igitilized_data/Krs/Fricke_etal_2014_Fig2a.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digitilized_data/Krs/Calvo-Polanco_etal_2014_Fig1.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igitilized_data/Krs/Adiredjo_etal_2014_Fig2a.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digitilized_data/Krs/Adiredjo_etal_2014_Fig2b.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digitilized_data/Krs/Yang_etal_2013_Fig5.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digitilized_data/Krs/Suku_etal_2013_Fig4e.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igitilized_data/Krs/Suku_etal_2013_Fig3a.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digitilized_data/Krs/Suku_etal_2013_Fig3c.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igitilized_data/Krs/Yang_etal_2012_Fig5.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digitilized_data/Krs/Perrone_etal_2012_Fig7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igitilized_data/Krs/Kodama_etal_2021_Fig3a.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digitilized_data/Krs/Perrone_etal_2012_Fig6.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digitilized_data/Krs/Henry_etal_2012_Fig3ab.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digitilized_data/Krs/Henry_etal_2012_Fig3cd.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igitilized_data/Krs/Barzana_etal_2012_Fig1e.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igitilized_data/Krs/Barzana_etal_2012_Fig2e.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digitilized_data/Krs/Yang_etal_2011_Fig2a.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digitilized_data/Krs/Sutka_etal_2011_Fig1.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digitilized_data/Krs/Sutka_etal_2011_Fig2.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digitilized_data/Krs/Hu_etal_2011_Fig3.xlsx" TargetMode="External"/></Relationships>
</file>

<file path=xl/externalLinks/_rels/externalLink59.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s\Hu_etal_2011_Fig9a.xlsx" TargetMode="External"/><Relationship Id="rId1" Type="http://schemas.openxmlformats.org/officeDocument/2006/relationships/externalLinkPath" Target="digitilized_data/Krs/Hu_etal_2011_Fig9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igitilized_data/Krs/Kodama_etal_2021_Fig3c.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digitilized_data/Krs/Horie_etal_2011_Fig7.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digitilized_data/Krs/Vandeleur_etal_2009_Fig2.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digitilized_data/Krs/Ruiz-Lozano_etal_2009_Fig1b.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digitilized_data/Krs/Parent_etal_2009_Fig5b.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digitilized_data/Krs/Parent_etal_2009_Fig5c.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digitilized_data/Krs/Yi_etal_2010_Fig2c.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digitilized_data/Krs/Yi_etal_2010_Fig1a.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digitilized_data/Krs/Yi_etal_2010_Fig1e.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digitilized_data/Krs/Siemens&amp;Zwiazek_2008_Fig3c.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digitilized_data/Krs/Siemens&amp;Zwiazek_2008_Fig3b.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igitilized_data/Krs/Kodama_etal_2021_Fig3b.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digitilized_data/Krs/Mahdieh_etal_2008_Fig2b.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digitilized_data/Krs/Calvo-Polanco_etal_2008_Fig4.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digitilized_data/Krs/Calvo-Polanco_etal_2008_Fig1ab.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digitilized_data/Krs/Thompson_etal_2007_Fig5.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digitilized_data/Krs/Ruggiero&amp;Angelino_2007_Fig2.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digitilized_data/Krs/Ruggiero&amp;Angelino_2007_Fig1.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digitilized_data/Krs/Beaudette_etal_2007_Fig2.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digitilized_data/Krs/Beaudette_etal_2007_Fig3.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digitilized_data/Krs/Mu_eatl_2006_Fig1b.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digitilized_data/Krs/Aroca_etal_2006_Fig3b.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igitilized_data/Krs/Rodriguez-Dominguez&amp;Brodribb_2020_Fig2.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digitilized_data/Krs/Shimidzu_etal_2005_Fig1a.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digitilized_data/Krs/Shimidzu_etal_2005_Fig1d.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digitilized_data/Krs/Marjanovic_etal_2005_Fig1.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digitilized_data/Krs/Voicu&amp;Zwiazek_2004_Fig4.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digitilized_data/Krs/Siemens&amp;Zwiazek_2004_Fig1.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digitilized_data/Krs/Melkonian_etal_2004_Fig1d.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digitilized_data/Krs/Islam&amp;Macdonald_2004_Fig2a.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digitilized_data/Krs/Apostol_etal_2004_Fig1b.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digitilized_data/Krs/Tyree_etal_2003_Fig4.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digitilized_data/Krs/Navarro_etal_2003_Fig4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igitilized_data/Krs/Liu_etal_2020_Fig3d-f.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digitilized_data/Krs/Martinez-Ballesta_etal_2003_Fig3.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digitilized_data/Krs/Kyllo_etal_2003_Fig2b.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digitilized_data/Krs/Kyllo_etal_2003_Fig2a.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digitilized_data/Krs/Kyllo_etal_2003_Fig2c.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digitilized_data/Krs/Kyllo_etal_2003_Fig1a.xlsx"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digitilized_data/Krs/Kyllo_etal_2003_Fig1b.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digitilized_data/Krs/Tyree_etal_2002_Fig5c.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digitilized_data/Krs/Muhsin&amp;Zwiazek_2002_PlantSoil_Fig3c.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digitilized_data/Krs/Muhsin&amp;Zwiazek_2002_Fig5.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digitilized_data/Krs/Muhsin&amp;Zwiazek_2002_Fig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22_Fig3b_e"/>
    </sheetNames>
    <sheetDataSet>
      <sheetData sheetId="0">
        <row r="2">
          <cell r="A2">
            <v>175.27114967462001</v>
          </cell>
          <cell r="B2">
            <v>12.481031866464299</v>
          </cell>
        </row>
        <row r="3">
          <cell r="A3">
            <v>127.114967462039</v>
          </cell>
          <cell r="B3">
            <v>11.3429438543247</v>
          </cell>
        </row>
        <row r="4">
          <cell r="A4">
            <v>224.29501084598701</v>
          </cell>
          <cell r="B4">
            <v>18.171471927162301</v>
          </cell>
        </row>
        <row r="5">
          <cell r="A5">
            <v>169.63123644251601</v>
          </cell>
          <cell r="B5">
            <v>14.681335356600901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_etal_2020_Fig2ac"/>
    </sheetNames>
    <sheetDataSet>
      <sheetData sheetId="0">
        <row r="2">
          <cell r="B2">
            <v>1.9267751479289902E-8</v>
          </cell>
        </row>
        <row r="3">
          <cell r="B3">
            <v>1.4201183431952601E-8</v>
          </cell>
        </row>
        <row r="4">
          <cell r="B4">
            <v>1.13165680473372E-8</v>
          </cell>
        </row>
        <row r="5">
          <cell r="B5">
            <v>1.6678994082840201E-8</v>
          </cell>
        </row>
        <row r="6">
          <cell r="B6">
            <v>7.1375739644970398E-9</v>
          </cell>
        </row>
        <row r="7">
          <cell r="B7">
            <v>5.8431952662721597E-9</v>
          </cell>
        </row>
        <row r="8">
          <cell r="B8">
            <v>3.3653846153846098E-9</v>
          </cell>
        </row>
        <row r="9">
          <cell r="B9">
            <v>5.6582840236686396E-9</v>
          </cell>
        </row>
        <row r="10">
          <cell r="B10">
            <v>4.7707100591715896E-9</v>
          </cell>
        </row>
      </sheetData>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A2">
            <v>4.30534351145038E-10</v>
          </cell>
        </row>
        <row r="3">
          <cell r="A3">
            <v>1.2480916030534301E-10</v>
          </cell>
        </row>
      </sheetData>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6a"/>
    </sheetNames>
    <sheetDataSet>
      <sheetData sheetId="0">
        <row r="10">
          <cell r="D10">
            <v>1.43472280937607</v>
          </cell>
          <cell r="E10">
            <v>2.0520612491267881E-9</v>
          </cell>
        </row>
        <row r="11">
          <cell r="D11">
            <v>4.7348278873657366</v>
          </cell>
          <cell r="E11">
            <v>3.5759065018945584E-9</v>
          </cell>
        </row>
        <row r="12">
          <cell r="D12">
            <v>11.051588593415399</v>
          </cell>
          <cell r="E12">
            <v>5.2129851743338201E-9</v>
          </cell>
        </row>
      </sheetData>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6b"/>
    </sheetNames>
    <sheetDataSet>
      <sheetData sheetId="0">
        <row r="10">
          <cell r="E10">
            <v>1.06793595434368E-2</v>
          </cell>
        </row>
        <row r="11">
          <cell r="E11">
            <v>1.5638142041851519E-2</v>
          </cell>
        </row>
        <row r="12">
          <cell r="E12">
            <v>2.1835256816740499E-2</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se_etal_2001_Fig3b"/>
    </sheetNames>
    <sheetDataSet>
      <sheetData sheetId="0">
        <row r="2">
          <cell r="B2">
            <v>1.08487084870848E-8</v>
          </cell>
        </row>
        <row r="3">
          <cell r="B3">
            <v>3.7084870848708399E-9</v>
          </cell>
        </row>
      </sheetData>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oca_etal_2001_Fig2"/>
    </sheetNames>
    <sheetDataSet>
      <sheetData sheetId="0">
        <row r="2">
          <cell r="C2">
            <v>1.1375414593698167E-8</v>
          </cell>
        </row>
        <row r="3">
          <cell r="C3">
            <v>1.3370646766169139E-8</v>
          </cell>
        </row>
        <row r="4">
          <cell r="C4">
            <v>1.9434079601990056E-9</v>
          </cell>
        </row>
        <row r="5">
          <cell r="C5">
            <v>3.0058043117744443E-9</v>
          </cell>
        </row>
        <row r="6">
          <cell r="C6">
            <v>1.4251658374792695E-9</v>
          </cell>
        </row>
        <row r="7">
          <cell r="C7">
            <v>8.3696102819236946E-9</v>
          </cell>
        </row>
        <row r="8">
          <cell r="C8">
            <v>1.8138474295190723E-9</v>
          </cell>
        </row>
        <row r="9">
          <cell r="C9">
            <v>8.3436981757877219E-9</v>
          </cell>
        </row>
      </sheetData>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suda&amp;Tyree_2000_Fig1"/>
    </sheetNames>
    <sheetDataSet>
      <sheetData sheetId="0">
        <row r="2">
          <cell r="D2">
            <v>1.5589472992905398E-7</v>
          </cell>
        </row>
        <row r="3">
          <cell r="D3">
            <v>2.8254002913746099E-7</v>
          </cell>
        </row>
        <row r="4">
          <cell r="D4">
            <v>1.1548142685215098E-7</v>
          </cell>
        </row>
        <row r="5">
          <cell r="D5">
            <v>3.0106745578761799E-7</v>
          </cell>
        </row>
        <row r="6">
          <cell r="D6">
            <v>1.53773214967029E-7</v>
          </cell>
        </row>
        <row r="7">
          <cell r="D7">
            <v>1.2421839424198499E-7</v>
          </cell>
        </row>
        <row r="8">
          <cell r="D8">
            <v>1.2203977300206297E-7</v>
          </cell>
        </row>
        <row r="9">
          <cell r="D9">
            <v>2.1722448136294198E-7</v>
          </cell>
        </row>
        <row r="10">
          <cell r="D10">
            <v>1.587752075308E-7</v>
          </cell>
        </row>
        <row r="11">
          <cell r="D11">
            <v>2.4670985842890596E-7</v>
          </cell>
        </row>
        <row r="12">
          <cell r="D12">
            <v>1.46580922480414E-7</v>
          </cell>
        </row>
        <row r="13">
          <cell r="D13">
            <v>1.016708141115E-7</v>
          </cell>
        </row>
        <row r="14">
          <cell r="D14">
            <v>7.0112585735514989E-8</v>
          </cell>
        </row>
      </sheetData>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A2">
            <v>3.9495060373216199E-8</v>
          </cell>
        </row>
        <row r="3">
          <cell r="A3">
            <v>3.7497255762897899E-8</v>
          </cell>
        </row>
        <row r="4">
          <cell r="A4">
            <v>1.99780461031833E-8</v>
          </cell>
        </row>
        <row r="6">
          <cell r="A6">
            <v>8.0680570801317198E-8</v>
          </cell>
        </row>
        <row r="7">
          <cell r="A7">
            <v>3.1964873765093201E-8</v>
          </cell>
        </row>
      </sheetData>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vajal_etal_1999_Fig1b"/>
    </sheetNames>
    <sheetDataSet>
      <sheetData sheetId="0">
        <row r="2">
          <cell r="C2">
            <v>1.3610358325805472E-10</v>
          </cell>
        </row>
        <row r="3">
          <cell r="C3">
            <v>1.9512195121951222E-10</v>
          </cell>
        </row>
        <row r="4">
          <cell r="C4">
            <v>3.0111412225232777E-11</v>
          </cell>
        </row>
        <row r="5">
          <cell r="C5">
            <v>1.5657934357120945E-11</v>
          </cell>
        </row>
      </sheetData>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vajal_etal_1999_Fig3b"/>
    </sheetNames>
    <sheetDataSet>
      <sheetData sheetId="0">
        <row r="2">
          <cell r="C2">
            <v>2.4987181004220388E-10</v>
          </cell>
        </row>
        <row r="3">
          <cell r="C3">
            <v>1.0442551177375445E-10</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1998_Fig4a"/>
    </sheetNames>
    <sheetDataSet>
      <sheetData sheetId="0">
        <row r="2">
          <cell r="C2">
            <v>1.1043771043771E-9</v>
          </cell>
        </row>
        <row r="3">
          <cell r="C3">
            <v>6.4646464646464608E-10</v>
          </cell>
        </row>
        <row r="4">
          <cell r="C4">
            <v>4.5117845117845202E-10</v>
          </cell>
        </row>
        <row r="5">
          <cell r="C5">
            <v>3.3265993265993205E-9</v>
          </cell>
        </row>
        <row r="6">
          <cell r="C6">
            <v>1.8720538720538701E-9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_etal_2020_Fig1d"/>
    </sheetNames>
    <sheetDataSet>
      <sheetData sheetId="0">
        <row r="2">
          <cell r="B2">
            <v>18.3297180043383</v>
          </cell>
        </row>
        <row r="3">
          <cell r="B3">
            <v>18.275488069414301</v>
          </cell>
        </row>
        <row r="4">
          <cell r="B4">
            <v>15.5639913232104</v>
          </cell>
        </row>
      </sheetData>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1998_Fig3a"/>
    </sheetNames>
    <sheetDataSet>
      <sheetData sheetId="0">
        <row r="2">
          <cell r="C2">
            <v>1.47026431718061E-7</v>
          </cell>
        </row>
        <row r="3">
          <cell r="C3">
            <v>8.0396475770925095E-8</v>
          </cell>
        </row>
        <row r="4">
          <cell r="C4">
            <v>1.8447136563876601E-7</v>
          </cell>
        </row>
        <row r="5">
          <cell r="C5">
            <v>2.4339207048458099E-7</v>
          </cell>
        </row>
        <row r="6">
          <cell r="C6">
            <v>7.48898678414096E-8</v>
          </cell>
        </row>
      </sheetData>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1998_Fig4b"/>
    </sheetNames>
    <sheetDataSet>
      <sheetData sheetId="0">
        <row r="2">
          <cell r="C2">
            <v>2.8571428571428503E-8</v>
          </cell>
        </row>
        <row r="3">
          <cell r="C3">
            <v>2.04081632653061E-8</v>
          </cell>
        </row>
        <row r="4">
          <cell r="C4">
            <v>3.2838589981447102E-8</v>
          </cell>
        </row>
        <row r="5">
          <cell r="C5">
            <v>8.8311688311688216E-8</v>
          </cell>
        </row>
        <row r="6">
          <cell r="C6">
            <v>7.1799628942485998E-8</v>
          </cell>
        </row>
      </sheetData>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rdini_etal_1998_Fig3"/>
    </sheetNames>
    <sheetDataSet>
      <sheetData sheetId="0">
        <row r="2">
          <cell r="B2">
            <v>1.1386426920487E-7</v>
          </cell>
          <cell r="D2">
            <v>1.8734052814530298E-2</v>
          </cell>
        </row>
        <row r="3">
          <cell r="B3">
            <v>9.0657906710102494E-8</v>
          </cell>
          <cell r="D3">
            <v>1.6909021420641601E-2</v>
          </cell>
        </row>
        <row r="4">
          <cell r="B4">
            <v>2.81605911150745E-8</v>
          </cell>
          <cell r="D4">
            <v>3.55852002839099E-2</v>
          </cell>
        </row>
        <row r="5">
          <cell r="B5">
            <v>3.5113146619422699E-8</v>
          </cell>
          <cell r="D5">
            <v>9.3693693693693691E-3</v>
          </cell>
        </row>
        <row r="6">
          <cell r="B6">
            <v>2.2835262040283001E-8</v>
          </cell>
          <cell r="D6">
            <v>1.2972972972972899E-2</v>
          </cell>
        </row>
        <row r="7">
          <cell r="B7">
            <v>3.62257655144685E-9</v>
          </cell>
          <cell r="D7">
            <v>1.09309309309309E-2</v>
          </cell>
        </row>
        <row r="8">
          <cell r="B8">
            <v>2.3580056284710999E-8</v>
          </cell>
          <cell r="D8">
            <v>3.7213159664283998E-2</v>
          </cell>
        </row>
        <row r="9">
          <cell r="B9">
            <v>1.8430752372176399E-8</v>
          </cell>
          <cell r="D9">
            <v>3.2554977212163397E-2</v>
          </cell>
        </row>
        <row r="10">
          <cell r="B10">
            <v>3.05314671381964E-8</v>
          </cell>
          <cell r="D10">
            <v>2.6519562672776498E-2</v>
          </cell>
        </row>
        <row r="11">
          <cell r="B11">
            <v>1.04543538106694E-8</v>
          </cell>
          <cell r="D11">
            <v>2.5684878847250698E-2</v>
          </cell>
        </row>
        <row r="12">
          <cell r="B12">
            <v>2.1434240222216601E-8</v>
          </cell>
          <cell r="D12">
            <v>2.8098509461570796E-2</v>
          </cell>
        </row>
        <row r="13">
          <cell r="B13">
            <v>4.8761191438706099E-9</v>
          </cell>
          <cell r="D13">
            <v>1.50730388631234E-2</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rdini_etal_1998b_Fig4"/>
    </sheetNames>
    <sheetDataSet>
      <sheetData sheetId="0">
        <row r="2">
          <cell r="A2">
            <v>1.0320396521088501E-7</v>
          </cell>
          <cell r="B2">
            <v>4.3513513513513498E-3</v>
          </cell>
        </row>
        <row r="3">
          <cell r="A3">
            <v>1.6915739268680399E-7</v>
          </cell>
          <cell r="B3">
            <v>7.8378378378378306E-3</v>
          </cell>
        </row>
        <row r="4">
          <cell r="A4">
            <v>4.4245768259608998E-7</v>
          </cell>
          <cell r="B4">
            <v>3.24324324324324E-3</v>
          </cell>
        </row>
        <row r="5">
          <cell r="A5">
            <v>1.2010054657586401E-8</v>
          </cell>
          <cell r="B5">
            <v>3.4507935580042601E-2</v>
          </cell>
        </row>
        <row r="6">
          <cell r="A6">
            <v>4.3308099260515003E-8</v>
          </cell>
          <cell r="B6">
            <v>4.07213632245053E-2</v>
          </cell>
        </row>
        <row r="7">
          <cell r="A7">
            <v>6.1168756515554596E-8</v>
          </cell>
          <cell r="B7">
            <v>3.3538713354572799E-2</v>
          </cell>
        </row>
        <row r="8">
          <cell r="A8">
            <v>1.39226519337016E-8</v>
          </cell>
          <cell r="B8">
            <v>2.35494814384026E-2</v>
          </cell>
        </row>
        <row r="9">
          <cell r="A9">
            <v>4.4751381215469598E-8</v>
          </cell>
          <cell r="B9">
            <v>5.39905011146651E-2</v>
          </cell>
        </row>
        <row r="10">
          <cell r="A10">
            <v>8.3204419889502802E-8</v>
          </cell>
          <cell r="B10">
            <v>3.48046912862265E-2</v>
          </cell>
        </row>
        <row r="11">
          <cell r="A11">
            <v>8.78180989209544E-9</v>
          </cell>
          <cell r="B11">
            <v>3.3817187051453E-2</v>
          </cell>
        </row>
        <row r="12">
          <cell r="A12">
            <v>2.5724345227038599E-8</v>
          </cell>
          <cell r="B12">
            <v>2.69214272446343E-2</v>
          </cell>
        </row>
        <row r="13">
          <cell r="A13">
            <v>3.1878957766932899E-8</v>
          </cell>
          <cell r="B13">
            <v>2.5474932031949199E-2</v>
          </cell>
        </row>
        <row r="14">
          <cell r="A14">
            <v>4.9165379189898701E-9</v>
          </cell>
          <cell r="B14">
            <v>2.65244844495197E-2</v>
          </cell>
        </row>
        <row r="15">
          <cell r="A15">
            <v>1.1871935245516299E-8</v>
          </cell>
          <cell r="B15">
            <v>2.5093705917914901E-2</v>
          </cell>
        </row>
        <row r="16">
          <cell r="A16">
            <v>3.6872271109021397E-8</v>
          </cell>
          <cell r="B16">
            <v>1.8508094310472199E-2</v>
          </cell>
        </row>
        <row r="17">
          <cell r="A17">
            <v>9.1097266071068695E-8</v>
          </cell>
          <cell r="B17">
            <v>2.4806878484583801E-2</v>
          </cell>
        </row>
        <row r="18">
          <cell r="A18">
            <v>9.2054980855780197E-8</v>
          </cell>
          <cell r="B18">
            <v>1.5935379861624199E-2</v>
          </cell>
        </row>
        <row r="19">
          <cell r="A19">
            <v>1.2021260159870999E-7</v>
          </cell>
          <cell r="B19">
            <v>1.13078524887485E-2</v>
          </cell>
        </row>
      </sheetData>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ang&amp;Grantz_1996_Fig7"/>
    </sheetNames>
    <sheetDataSet>
      <sheetData sheetId="0">
        <row r="8">
          <cell r="C8">
            <v>5.9264501866277498E-2</v>
          </cell>
          <cell r="D8">
            <v>2.41858786133791E-9</v>
          </cell>
        </row>
        <row r="9">
          <cell r="C9">
            <v>0.1190892908447397</v>
          </cell>
          <cell r="D9">
            <v>7.0663911070891223E-9</v>
          </cell>
        </row>
        <row r="10">
          <cell r="C10">
            <v>0.202214005030185</v>
          </cell>
          <cell r="D10">
            <v>1.54333314763407E-8</v>
          </cell>
        </row>
        <row r="19">
          <cell r="C19">
            <v>7.7928550852835093E-2</v>
          </cell>
          <cell r="D19">
            <v>4.2634080523726196E-9</v>
          </cell>
        </row>
        <row r="20">
          <cell r="C20">
            <v>0.11593217618815889</v>
          </cell>
          <cell r="D20">
            <v>6.8037203342866557E-9</v>
          </cell>
        </row>
        <row r="21">
          <cell r="C21">
            <v>0.15123446410591901</v>
          </cell>
          <cell r="D21">
            <v>9.2215781628546201E-9</v>
          </cell>
        </row>
        <row r="31">
          <cell r="C31">
            <v>7.7544272287647195E-2</v>
          </cell>
          <cell r="D31">
            <v>5.0874484967645304E-9</v>
          </cell>
        </row>
        <row r="32">
          <cell r="C32">
            <v>0.11905980353924644</v>
          </cell>
          <cell r="D32">
            <v>9.6078854546604429E-9</v>
          </cell>
        </row>
        <row r="33">
          <cell r="C33">
            <v>0.15287985575244201</v>
          </cell>
          <cell r="D33">
            <v>1.1611946531296399E-8</v>
          </cell>
        </row>
      </sheetData>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se_etal_1995_Fig3"/>
    </sheetNames>
    <sheetDataSet>
      <sheetData sheetId="0">
        <row r="10">
          <cell r="C10">
            <v>1.22532294832826E-8</v>
          </cell>
        </row>
        <row r="11">
          <cell r="C11">
            <v>2.1334288938012293E-8</v>
          </cell>
        </row>
        <row r="12">
          <cell r="C12">
            <v>2.7930851063829699E-8</v>
          </cell>
        </row>
        <row r="21">
          <cell r="C21">
            <v>1.2253292806484201E-8</v>
          </cell>
        </row>
        <row r="22">
          <cell r="C22">
            <v>1.9709323477940437E-8</v>
          </cell>
        </row>
        <row r="23">
          <cell r="C23">
            <v>3.0500000000000002E-8</v>
          </cell>
        </row>
      </sheetData>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lger_etal_1992_Fig2"/>
    </sheetNames>
    <sheetDataSet>
      <sheetData sheetId="0">
        <row r="2">
          <cell r="B2">
            <v>4.7544409613375101E-11</v>
          </cell>
        </row>
        <row r="3">
          <cell r="B3">
            <v>5.7993730407523498E-11</v>
          </cell>
        </row>
        <row r="4">
          <cell r="B4">
            <v>7.6280041797283098E-11</v>
          </cell>
        </row>
        <row r="5">
          <cell r="B5">
            <v>9.63079066527342E-11</v>
          </cell>
        </row>
        <row r="6">
          <cell r="B6">
            <v>1.18077324973876E-10</v>
          </cell>
        </row>
        <row r="7">
          <cell r="B7">
            <v>1.3984674329501901E-10</v>
          </cell>
        </row>
        <row r="8">
          <cell r="B8">
            <v>1.9296412399860599E-10</v>
          </cell>
        </row>
        <row r="9">
          <cell r="B9">
            <v>2.5304771856495899E-10</v>
          </cell>
        </row>
      </sheetData>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lger_etal_1992_Fig6"/>
    </sheetNames>
    <sheetDataSet>
      <sheetData sheetId="0">
        <row r="2">
          <cell r="B2">
            <v>100.64935064935</v>
          </cell>
        </row>
      </sheetData>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rkomer_etal_1991_Fig2b"/>
    </sheetNames>
    <sheetDataSet>
      <sheetData sheetId="0">
        <row r="2">
          <cell r="C2">
            <v>1.0194352768610195E-10</v>
          </cell>
        </row>
        <row r="3">
          <cell r="C3">
            <v>9.5892922625595842E-11</v>
          </cell>
        </row>
        <row r="4">
          <cell r="C4">
            <v>7.6640997433076388E-11</v>
          </cell>
        </row>
        <row r="5">
          <cell r="C5">
            <v>9.1125779244591103E-11</v>
          </cell>
        </row>
        <row r="6">
          <cell r="C6">
            <v>7.9941327466079719E-11</v>
          </cell>
        </row>
        <row r="7">
          <cell r="C7">
            <v>6.3806380638063603E-11</v>
          </cell>
        </row>
        <row r="8">
          <cell r="C8">
            <v>2.1268793546021275E-11</v>
          </cell>
        </row>
        <row r="9">
          <cell r="C9">
            <v>2.273560689402272E-11</v>
          </cell>
        </row>
      </sheetData>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r_etal_1991_Fig1"/>
    </sheetNames>
    <sheetDataSet>
      <sheetData sheetId="0">
        <row r="2">
          <cell r="C2">
            <v>5.7975439978985998E-10</v>
          </cell>
        </row>
        <row r="3">
          <cell r="C3">
            <v>4.0244943525085338E-10</v>
          </cell>
        </row>
        <row r="4">
          <cell r="C4">
            <v>2.6536643026004667E-10</v>
          </cell>
        </row>
        <row r="5">
          <cell r="C5">
            <v>3.5812319411610164E-10</v>
          </cell>
        </row>
        <row r="6">
          <cell r="C6">
            <v>1.6604281586551082E-10</v>
          </cell>
        </row>
        <row r="7">
          <cell r="C7">
            <v>6.8360914105594835E-11</v>
          </cell>
        </row>
        <row r="8">
          <cell r="C8">
            <v>7.4927764644076502E-11</v>
          </cell>
        </row>
        <row r="9">
          <cell r="C9">
            <v>4.6197793538219003E-11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rnandes&amp;Barrios_2020_Fig1"/>
    </sheetNames>
    <sheetDataSet>
      <sheetData sheetId="0">
        <row r="2">
          <cell r="B2">
            <v>9.2171717171717097E-7</v>
          </cell>
        </row>
        <row r="3">
          <cell r="B3">
            <v>5.90909090909091E-7</v>
          </cell>
        </row>
        <row r="4">
          <cell r="B4">
            <v>1.02325581395348E-7</v>
          </cell>
        </row>
        <row r="5">
          <cell r="B5">
            <v>3.5658914728681998E-8</v>
          </cell>
        </row>
      </sheetData>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rryman_etal_1991_Fig2"/>
    </sheetNames>
    <sheetDataSet>
      <sheetData sheetId="0">
        <row r="2">
          <cell r="B2">
            <v>2.4226289517470898E-7</v>
          </cell>
        </row>
        <row r="3">
          <cell r="B3">
            <v>2.5757071547420901E-7</v>
          </cell>
        </row>
        <row r="4">
          <cell r="B4">
            <v>3.3810316139767003E-7</v>
          </cell>
        </row>
        <row r="5">
          <cell r="B5">
            <v>3.9534109816971698E-7</v>
          </cell>
        </row>
        <row r="6">
          <cell r="B6">
            <v>3.9733777038269498E-7</v>
          </cell>
        </row>
        <row r="7">
          <cell r="B7">
            <v>2.6422628951747002E-7</v>
          </cell>
        </row>
        <row r="8">
          <cell r="B8">
            <v>1.5108153078202999E-7</v>
          </cell>
        </row>
        <row r="9">
          <cell r="B9">
            <v>1.8768718801996599E-7</v>
          </cell>
        </row>
        <row r="10">
          <cell r="B10">
            <v>2.3161397670549E-7</v>
          </cell>
        </row>
        <row r="11">
          <cell r="B11">
            <v>3.72712146422629E-7</v>
          </cell>
        </row>
      </sheetData>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ly_1989_Fig2"/>
    </sheetNames>
    <sheetDataSet>
      <sheetData sheetId="0">
        <row r="2">
          <cell r="B2">
            <v>6.68870523415977E-7</v>
          </cell>
        </row>
        <row r="3">
          <cell r="B3">
            <v>4.4187327823691401E-7</v>
          </cell>
        </row>
        <row r="4">
          <cell r="B4">
            <v>4.9586776859504103E-7</v>
          </cell>
        </row>
        <row r="5">
          <cell r="B5">
            <v>2.9531680440771298E-7</v>
          </cell>
        </row>
        <row r="6">
          <cell r="B6">
            <v>2.4022038567493098E-7</v>
          </cell>
        </row>
        <row r="7">
          <cell r="B7">
            <v>1.9173553719008201E-7</v>
          </cell>
        </row>
      </sheetData>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ssera&amp;Ayres_1988_Fig2"/>
    </sheetNames>
    <sheetDataSet>
      <sheetData sheetId="0">
        <row r="2">
          <cell r="B2">
            <v>6.9653299916457694E-8</v>
          </cell>
        </row>
        <row r="3">
          <cell r="B3">
            <v>7.5657894736842101E-8</v>
          </cell>
        </row>
        <row r="4">
          <cell r="B4">
            <v>9.0016708437761004E-8</v>
          </cell>
        </row>
        <row r="5">
          <cell r="B5">
            <v>9.4193817878028306E-8</v>
          </cell>
        </row>
        <row r="6">
          <cell r="B6">
            <v>1.09596908939014E-7</v>
          </cell>
        </row>
        <row r="7">
          <cell r="B7">
            <v>1.09335839598997E-7</v>
          </cell>
        </row>
        <row r="8">
          <cell r="B8">
            <v>1.5006265664160301E-7</v>
          </cell>
        </row>
        <row r="9">
          <cell r="B9">
            <v>1.5058479532163701E-7</v>
          </cell>
        </row>
      </sheetData>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scus_1986_Fig5"/>
    </sheetNames>
    <sheetDataSet>
      <sheetData sheetId="0">
        <row r="2">
          <cell r="B2">
            <v>3.1637036404346302E-7</v>
          </cell>
        </row>
        <row r="3">
          <cell r="B3">
            <v>2.9820113599619301E-7</v>
          </cell>
        </row>
        <row r="4">
          <cell r="B4">
            <v>3.0496769548957002E-7</v>
          </cell>
        </row>
        <row r="5">
          <cell r="B5">
            <v>3.2391113361682302E-7</v>
          </cell>
        </row>
        <row r="6">
          <cell r="B6">
            <v>3.0490363555387399E-7</v>
          </cell>
        </row>
        <row r="7">
          <cell r="B7">
            <v>3.1522460633644198E-7</v>
          </cell>
        </row>
        <row r="8">
          <cell r="B8">
            <v>3.1261645181167599E-7</v>
          </cell>
        </row>
        <row r="9">
          <cell r="B9">
            <v>3.13889414248149E-7</v>
          </cell>
        </row>
        <row r="10">
          <cell r="B10">
            <v>2.9791927227912998E-7</v>
          </cell>
        </row>
        <row r="11">
          <cell r="B11">
            <v>2.8623748543399002E-7</v>
          </cell>
        </row>
        <row r="12">
          <cell r="B12">
            <v>2.8664655388050597E-7</v>
          </cell>
        </row>
        <row r="13">
          <cell r="B13">
            <v>2.8059014453141602E-7</v>
          </cell>
        </row>
        <row r="14">
          <cell r="B14">
            <v>2.8962168032261799E-7</v>
          </cell>
        </row>
        <row r="15">
          <cell r="B15">
            <v>2.53802109707215E-7</v>
          </cell>
        </row>
      </sheetData>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scus&amp;Markhart_1979_Fig4"/>
    </sheetNames>
    <sheetDataSet>
      <sheetData sheetId="0">
        <row r="2">
          <cell r="A2">
            <v>6</v>
          </cell>
          <cell r="B2">
            <v>114.18004346665501</v>
          </cell>
          <cell r="C2">
            <v>8.3632292101567302E-8</v>
          </cell>
        </row>
        <row r="3">
          <cell r="A3">
            <v>10</v>
          </cell>
          <cell r="B3">
            <v>180.905174057268</v>
          </cell>
          <cell r="C3">
            <v>2.1594337116180199E-7</v>
          </cell>
        </row>
        <row r="4">
          <cell r="A4">
            <v>11</v>
          </cell>
          <cell r="B4">
            <v>127.52506958477802</v>
          </cell>
          <cell r="C4">
            <v>6.1048544426310299E-7</v>
          </cell>
        </row>
        <row r="5">
          <cell r="A5">
            <v>12</v>
          </cell>
          <cell r="B5">
            <v>274.32035688412697</v>
          </cell>
          <cell r="C5">
            <v>4.0484533343454599E-7</v>
          </cell>
        </row>
        <row r="6">
          <cell r="A6">
            <v>18</v>
          </cell>
          <cell r="B6">
            <v>968.26171502649902</v>
          </cell>
          <cell r="C6">
            <v>4.6143621664705601E-7</v>
          </cell>
        </row>
        <row r="7">
          <cell r="A7">
            <v>19</v>
          </cell>
          <cell r="B7">
            <v>1155.0920806802101</v>
          </cell>
          <cell r="C7">
            <v>5.0447717007628895E-7</v>
          </cell>
        </row>
        <row r="8">
          <cell r="A8">
            <v>25</v>
          </cell>
          <cell r="B8">
            <v>2369.4894574293598</v>
          </cell>
          <cell r="C8">
            <v>3.5303677838083999E-7</v>
          </cell>
        </row>
        <row r="9">
          <cell r="A9">
            <v>27</v>
          </cell>
          <cell r="B9">
            <v>2236.0391962481403</v>
          </cell>
          <cell r="C9">
            <v>2.0956693361672999E-7</v>
          </cell>
        </row>
        <row r="10">
          <cell r="A10">
            <v>28</v>
          </cell>
          <cell r="B10">
            <v>2796.53029320928</v>
          </cell>
          <cell r="C10">
            <v>2.6217254336356998E-7</v>
          </cell>
        </row>
        <row r="11">
          <cell r="A11">
            <v>32</v>
          </cell>
          <cell r="B11">
            <v>3383.7114424066799</v>
          </cell>
          <cell r="C11">
            <v>2.6217254336356998E-7</v>
          </cell>
        </row>
        <row r="12">
          <cell r="A12">
            <v>33</v>
          </cell>
          <cell r="B12">
            <v>4878.3543676364006</v>
          </cell>
          <cell r="C12">
            <v>1.20296807985728E-7</v>
          </cell>
        </row>
        <row r="13">
          <cell r="A13">
            <v>39</v>
          </cell>
          <cell r="B13">
            <v>5372.1203340069305</v>
          </cell>
          <cell r="C13">
            <v>1.8406118343644399E-7</v>
          </cell>
        </row>
        <row r="14">
          <cell r="A14">
            <v>40</v>
          </cell>
          <cell r="B14">
            <v>5759.1260914324903</v>
          </cell>
          <cell r="C14">
            <v>1.87249402208979E-7</v>
          </cell>
        </row>
        <row r="15">
          <cell r="A15">
            <v>41</v>
          </cell>
          <cell r="B15">
            <v>6960.1784420635204</v>
          </cell>
          <cell r="C15">
            <v>2.4144912134208799E-7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vassi_etal_2020_Fig3b"/>
    </sheetNames>
    <sheetDataSet>
      <sheetData sheetId="0">
        <row r="2">
          <cell r="B2">
            <v>1.0453333333333301E-8</v>
          </cell>
        </row>
        <row r="3">
          <cell r="B3">
            <v>8.0499999999999993E-9</v>
          </cell>
        </row>
        <row r="4">
          <cell r="B4">
            <v>5.2966666666666602E-9</v>
          </cell>
        </row>
        <row r="5">
          <cell r="B5">
            <v>3.0333333333333299E-9</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yer_etal_2020_Fig5b"/>
    </sheetNames>
    <sheetDataSet>
      <sheetData sheetId="0">
        <row r="2">
          <cell r="B2">
            <v>6.5879265091863103E-9</v>
          </cell>
        </row>
        <row r="3">
          <cell r="B3">
            <v>1.78477690288713E-9</v>
          </cell>
        </row>
        <row r="4">
          <cell r="B4">
            <v>6.2992125984251801E-10</v>
          </cell>
        </row>
        <row r="5">
          <cell r="B5">
            <v>1.2335958005249299E-9</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driguez-Gamir_etal_2019_Fig2f"/>
    </sheetNames>
    <sheetDataSet>
      <sheetData sheetId="0">
        <row r="2">
          <cell r="C2">
            <v>9.2200200000000006E-9</v>
          </cell>
        </row>
        <row r="3">
          <cell r="C3">
            <v>5.4605499999999997E-9</v>
          </cell>
        </row>
        <row r="4">
          <cell r="C4">
            <v>5.9696799999999996E-9</v>
          </cell>
        </row>
        <row r="5">
          <cell r="C5">
            <v>3.9822200000000003E-9</v>
          </cell>
        </row>
        <row r="6">
          <cell r="C6">
            <v>6.6654400000000001E-9</v>
          </cell>
        </row>
        <row r="7">
          <cell r="C7">
            <v>3.5922799999999999E-9</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ng_etal_2019_Fig4"/>
    </sheetNames>
    <sheetDataSet>
      <sheetData sheetId="0">
        <row r="2">
          <cell r="C2">
            <v>4.4785223776562402E-6</v>
          </cell>
        </row>
        <row r="3">
          <cell r="C3">
            <v>8.6351577586334206E-7</v>
          </cell>
        </row>
        <row r="4">
          <cell r="C4">
            <v>7.9473793935616197E-7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g_etal_2018_Fig3"/>
    </sheetNames>
    <sheetDataSet>
      <sheetData sheetId="0">
        <row r="2">
          <cell r="C2">
            <v>6.3847223127335698E-8</v>
          </cell>
        </row>
        <row r="3">
          <cell r="C3">
            <v>3.1573358116128603E-9</v>
          </cell>
        </row>
        <row r="4">
          <cell r="C4">
            <v>3.2781292766613003E-9</v>
          </cell>
        </row>
        <row r="5">
          <cell r="C5">
            <v>9.1953611592001699E-8</v>
          </cell>
        </row>
        <row r="6">
          <cell r="C6">
            <v>9.3376227215929813E-8</v>
          </cell>
        </row>
        <row r="7">
          <cell r="C7">
            <v>1.06074297387889E-7</v>
          </cell>
        </row>
        <row r="8">
          <cell r="C8">
            <v>1.1282344137942201E-7</v>
          </cell>
        </row>
        <row r="9">
          <cell r="C9">
            <v>2.4621466397304998E-8</v>
          </cell>
        </row>
        <row r="10">
          <cell r="C10">
            <v>6.2527448552529802E-10</v>
          </cell>
        </row>
        <row r="11">
          <cell r="C11">
            <v>9.5243459806808494E-10</v>
          </cell>
        </row>
        <row r="12">
          <cell r="C12">
            <v>5.7475615735485403E-8</v>
          </cell>
        </row>
        <row r="13">
          <cell r="C13">
            <v>5.7971547007505502E-8</v>
          </cell>
        </row>
        <row r="14">
          <cell r="C14">
            <v>5.40962732303297E-8</v>
          </cell>
        </row>
        <row r="15">
          <cell r="C15">
            <v>5.7430730478589398E-8</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g_etal_2018_Fig2c"/>
    </sheetNames>
    <sheetDataSet>
      <sheetData sheetId="0">
        <row r="2">
          <cell r="B2">
            <v>5.0299003796142898</v>
          </cell>
        </row>
        <row r="3">
          <cell r="B3">
            <v>1.7873745019791001</v>
          </cell>
        </row>
        <row r="4">
          <cell r="B4">
            <v>1.20198008889004</v>
          </cell>
        </row>
        <row r="5">
          <cell r="B5">
            <v>8.6433936600662093</v>
          </cell>
        </row>
        <row r="6">
          <cell r="B6">
            <v>8.5002609645639104</v>
          </cell>
        </row>
        <row r="7">
          <cell r="B7">
            <v>9.1968152597812995</v>
          </cell>
        </row>
        <row r="8">
          <cell r="B8">
            <v>9.2364533456953399</v>
          </cell>
        </row>
        <row r="9">
          <cell r="B9">
            <v>3.1957389835673302</v>
          </cell>
        </row>
        <row r="10">
          <cell r="B10">
            <v>0.93857769449964501</v>
          </cell>
        </row>
        <row r="11">
          <cell r="B11">
            <v>0.85295538316406005</v>
          </cell>
        </row>
        <row r="12">
          <cell r="B12">
            <v>5.6815285715675001</v>
          </cell>
        </row>
        <row r="13">
          <cell r="B13">
            <v>5.8238326398944196</v>
          </cell>
        </row>
        <row r="14">
          <cell r="B14">
            <v>6.9019799808301796</v>
          </cell>
        </row>
        <row r="15">
          <cell r="B15">
            <v>6.9254484214075198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ek_etal_2018_Fig2a"/>
    </sheetNames>
    <sheetDataSet>
      <sheetData sheetId="0">
        <row r="7">
          <cell r="D7">
            <v>6.8823499999999994E-8</v>
          </cell>
        </row>
        <row r="13">
          <cell r="D13">
            <v>3.2934999999999997E-8</v>
          </cell>
        </row>
        <row r="15">
          <cell r="D15">
            <v>2.4742999999999999E-8</v>
          </cell>
        </row>
        <row r="18">
          <cell r="D18">
            <v>1.9393200000000001E-8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C2">
            <v>7.5807635829662227E-10</v>
          </cell>
        </row>
        <row r="3">
          <cell r="C3">
            <v>6.130690161527167E-10</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ek_etal_2018_Fig2b"/>
    </sheetNames>
    <sheetDataSet>
      <sheetData sheetId="0">
        <row r="6">
          <cell r="D6">
            <v>6.7413333333333286E-8</v>
          </cell>
        </row>
        <row r="10">
          <cell r="D10">
            <v>4.1046666666666615E-8</v>
          </cell>
        </row>
        <row r="20">
          <cell r="D20">
            <v>1.381333333333334E-8</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ek_etal_2018_Fig2c"/>
    </sheetNames>
    <sheetDataSet>
      <sheetData sheetId="0">
        <row r="9">
          <cell r="D9">
            <v>3.7838333333333294E-8</v>
          </cell>
        </row>
        <row r="14">
          <cell r="D14">
            <v>1.6435555555555572E-8</v>
          </cell>
        </row>
        <row r="18">
          <cell r="D18">
            <v>6.9633333333333633E-9</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i_etal_2016_Fig2"/>
    </sheetNames>
    <sheetDataSet>
      <sheetData sheetId="0">
        <row r="2">
          <cell r="B2">
            <v>1.7542168674698699E-7</v>
          </cell>
        </row>
        <row r="3">
          <cell r="B3">
            <v>1.53734939759036E-7</v>
          </cell>
        </row>
        <row r="4">
          <cell r="B4">
            <v>3.8554216867469801E-9</v>
          </cell>
        </row>
        <row r="5">
          <cell r="B5">
            <v>2.0120481927710799E-8</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u_etal_2016_Fig1a_c"/>
    </sheetNames>
    <sheetDataSet>
      <sheetData sheetId="0">
        <row r="2">
          <cell r="B2">
            <v>3.49425287356321E-10</v>
          </cell>
        </row>
        <row r="3">
          <cell r="B3">
            <v>3.5172413793103402E-10</v>
          </cell>
        </row>
        <row r="4">
          <cell r="B4">
            <v>3.7011494252873498E-10</v>
          </cell>
        </row>
        <row r="5">
          <cell r="B5">
            <v>3.4022988505747099E-10</v>
          </cell>
        </row>
        <row r="6">
          <cell r="B6">
            <v>3.3793103448275802E-10</v>
          </cell>
        </row>
        <row r="7">
          <cell r="B7">
            <v>3.05747126436781E-10</v>
          </cell>
        </row>
        <row r="8">
          <cell r="B8">
            <v>3.05747126436781E-10</v>
          </cell>
        </row>
        <row r="9">
          <cell r="B9">
            <v>3.0114942528735599E-10</v>
          </cell>
        </row>
        <row r="10">
          <cell r="B10">
            <v>1.00229885057471E-9</v>
          </cell>
        </row>
        <row r="11">
          <cell r="B11">
            <v>9.9080459770114901E-10</v>
          </cell>
        </row>
        <row r="12">
          <cell r="B12">
            <v>9.9080459770114901E-10</v>
          </cell>
        </row>
        <row r="13">
          <cell r="B13">
            <v>5.9080459770114905E-10</v>
          </cell>
        </row>
        <row r="14">
          <cell r="B14">
            <v>1.0137931034482699E-9</v>
          </cell>
        </row>
        <row r="15">
          <cell r="B15">
            <v>4.4367816091954002E-10</v>
          </cell>
        </row>
        <row r="16">
          <cell r="B16">
            <v>9.4252873563218302E-10</v>
          </cell>
        </row>
        <row r="17">
          <cell r="B17">
            <v>3.5632183908045898E-10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u_etal_2016_Fig2"/>
    </sheetNames>
    <sheetDataSet>
      <sheetData sheetId="0">
        <row r="2">
          <cell r="C2">
            <v>1.68004027361202E-7</v>
          </cell>
        </row>
        <row r="4">
          <cell r="C4">
            <v>1.7972813899762101E-7</v>
          </cell>
        </row>
        <row r="5">
          <cell r="C5">
            <v>1.6565991109303501E-7</v>
          </cell>
        </row>
        <row r="6">
          <cell r="C6">
            <v>1.4925109721586701E-7</v>
          </cell>
        </row>
        <row r="7">
          <cell r="C7">
            <v>1.68000497065618E-7</v>
          </cell>
        </row>
        <row r="8">
          <cell r="C8">
            <v>1.5745197385886701E-7</v>
          </cell>
        </row>
        <row r="9">
          <cell r="C9">
            <v>1.49247566920282E-7</v>
          </cell>
        </row>
        <row r="10">
          <cell r="C10">
            <v>4.26654663661679E-7</v>
          </cell>
        </row>
        <row r="12">
          <cell r="C12">
            <v>4.2079437299126098E-7</v>
          </cell>
        </row>
        <row r="13">
          <cell r="C13">
            <v>4.5478405887968099E-7</v>
          </cell>
        </row>
        <row r="14">
          <cell r="C14">
            <v>4.1141790791859399E-7</v>
          </cell>
        </row>
        <row r="15">
          <cell r="C15">
            <v>2.6959887369449599E-7</v>
          </cell>
        </row>
        <row r="16">
          <cell r="C16">
            <v>2.01619501917656E-7</v>
          </cell>
        </row>
        <row r="17">
          <cell r="C17">
            <v>1.68215845096278E-7</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6_Fig2b"/>
    </sheetNames>
    <sheetDataSet>
      <sheetData sheetId="0">
        <row r="1">
          <cell r="B1">
            <v>1.08936170212765E-8</v>
          </cell>
        </row>
        <row r="2">
          <cell r="B2">
            <v>1.73617021276595E-8</v>
          </cell>
        </row>
        <row r="3">
          <cell r="B3">
            <v>4.1985815602836796E-9</v>
          </cell>
        </row>
        <row r="4">
          <cell r="B4">
            <v>1.3957446808510601E-8</v>
          </cell>
        </row>
        <row r="5">
          <cell r="B5">
            <v>4.3120567375886503E-9</v>
          </cell>
        </row>
        <row r="6">
          <cell r="B6">
            <v>2.7234042553191399E-8</v>
          </cell>
        </row>
        <row r="7">
          <cell r="B7">
            <v>1.61134751773049E-8</v>
          </cell>
        </row>
        <row r="8">
          <cell r="B8">
            <v>1.83829787234042E-8</v>
          </cell>
        </row>
        <row r="9">
          <cell r="B9">
            <v>8.9645390070922001E-9</v>
          </cell>
        </row>
        <row r="10">
          <cell r="B10">
            <v>1.94042553191489E-8</v>
          </cell>
        </row>
        <row r="11">
          <cell r="B11">
            <v>1.6567375886524799E-8</v>
          </cell>
        </row>
        <row r="12">
          <cell r="B12">
            <v>1.9914893617021199E-8</v>
          </cell>
        </row>
        <row r="13">
          <cell r="B13">
            <v>1.22553191489361E-8</v>
          </cell>
        </row>
        <row r="14">
          <cell r="B14">
            <v>2.9276595744680799E-8</v>
          </cell>
        </row>
        <row r="15">
          <cell r="B15">
            <v>1.10070921985815E-8</v>
          </cell>
        </row>
        <row r="16">
          <cell r="B16">
            <v>2.1106382978723399E-8</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6_FigS2b"/>
    </sheetNames>
    <sheetDataSet>
      <sheetData sheetId="0">
        <row r="2">
          <cell r="B2">
            <v>649.84802431610899</v>
          </cell>
        </row>
        <row r="3">
          <cell r="B3">
            <v>299.69604863221798</v>
          </cell>
        </row>
        <row r="4">
          <cell r="B4">
            <v>1024.3161094224899</v>
          </cell>
        </row>
        <row r="5">
          <cell r="B5">
            <v>396.96048632218799</v>
          </cell>
        </row>
        <row r="6">
          <cell r="B6">
            <v>620.66869300911799</v>
          </cell>
        </row>
        <row r="7">
          <cell r="B7">
            <v>236.47416413373799</v>
          </cell>
        </row>
        <row r="8">
          <cell r="B8">
            <v>897.872340425532</v>
          </cell>
        </row>
        <row r="9">
          <cell r="B9">
            <v>421.27659574467998</v>
          </cell>
        </row>
        <row r="10">
          <cell r="B10">
            <v>683.89057750759798</v>
          </cell>
        </row>
        <row r="11">
          <cell r="B11">
            <v>246.20060790273499</v>
          </cell>
        </row>
        <row r="12">
          <cell r="B12">
            <v>713.06990881458898</v>
          </cell>
        </row>
        <row r="13">
          <cell r="B13">
            <v>353.191489361702</v>
          </cell>
        </row>
        <row r="14">
          <cell r="B14">
            <v>635.258358662614</v>
          </cell>
        </row>
        <row r="15">
          <cell r="B15">
            <v>192.70516717325199</v>
          </cell>
        </row>
        <row r="16">
          <cell r="B16">
            <v>912.46200607902699</v>
          </cell>
        </row>
        <row r="17">
          <cell r="B17">
            <v>328.87537993920898</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6_Fig2a"/>
    </sheetNames>
    <sheetDataSet>
      <sheetData sheetId="0">
        <row r="2">
          <cell r="B2">
            <v>5.0071942446043096E-9</v>
          </cell>
        </row>
        <row r="3">
          <cell r="B3">
            <v>6.8489208633093503E-9</v>
          </cell>
        </row>
        <row r="4">
          <cell r="B4">
            <v>3.5395683453237299E-9</v>
          </cell>
        </row>
        <row r="5">
          <cell r="B5">
            <v>5.03597122302157E-9</v>
          </cell>
        </row>
        <row r="6">
          <cell r="B6">
            <v>5.0647482014388403E-9</v>
          </cell>
        </row>
        <row r="7">
          <cell r="B7">
            <v>5.9280575539568304E-9</v>
          </cell>
        </row>
        <row r="8">
          <cell r="B8">
            <v>1.4388489208633001E-9</v>
          </cell>
        </row>
        <row r="9">
          <cell r="B9">
            <v>6.4460431654676198E-9</v>
          </cell>
        </row>
        <row r="10">
          <cell r="B10">
            <v>3.68345323741006E-9</v>
          </cell>
        </row>
        <row r="11">
          <cell r="B11">
            <v>1.03597122302158E-8</v>
          </cell>
        </row>
        <row r="12">
          <cell r="B12">
            <v>9.9568345323741001E-9</v>
          </cell>
        </row>
        <row r="13">
          <cell r="B13">
            <v>6.10071942446042E-9</v>
          </cell>
        </row>
        <row r="14">
          <cell r="B14">
            <v>9.8417266187050305E-9</v>
          </cell>
        </row>
        <row r="15">
          <cell r="B15">
            <v>5.1223021582733702E-9</v>
          </cell>
        </row>
        <row r="16">
          <cell r="B16">
            <v>5.6402877697841703E-9</v>
          </cell>
        </row>
        <row r="17">
          <cell r="B17">
            <v>8.51798561151078E-9</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6_FigS2a"/>
    </sheetNames>
    <sheetDataSet>
      <sheetData sheetId="0">
        <row r="2">
          <cell r="B2">
            <v>202.41935483870901</v>
          </cell>
        </row>
        <row r="3">
          <cell r="B3">
            <v>126.61290322580599</v>
          </cell>
        </row>
        <row r="4">
          <cell r="B4">
            <v>278.22580645161202</v>
          </cell>
        </row>
        <row r="5">
          <cell r="B5">
            <v>116.935483870967</v>
          </cell>
        </row>
        <row r="6">
          <cell r="B6">
            <v>191.129032258064</v>
          </cell>
        </row>
        <row r="7">
          <cell r="B7">
            <v>128.22580645161199</v>
          </cell>
        </row>
        <row r="8">
          <cell r="B8">
            <v>242.74193548387001</v>
          </cell>
        </row>
        <row r="9">
          <cell r="B9">
            <v>128.22580645161199</v>
          </cell>
        </row>
        <row r="10">
          <cell r="B10">
            <v>136.29032258064501</v>
          </cell>
        </row>
        <row r="11">
          <cell r="B11">
            <v>63.709677419354698</v>
          </cell>
        </row>
        <row r="12">
          <cell r="B12">
            <v>124.99999999999901</v>
          </cell>
        </row>
        <row r="13">
          <cell r="B13">
            <v>73.387096774193495</v>
          </cell>
        </row>
        <row r="14">
          <cell r="B14">
            <v>95.967741935483801</v>
          </cell>
        </row>
        <row r="15">
          <cell r="B15">
            <v>70.161290322580598</v>
          </cell>
        </row>
        <row r="16">
          <cell r="B16">
            <v>136.29032258064501</v>
          </cell>
        </row>
        <row r="17">
          <cell r="B17">
            <v>79.838709677419303</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sheed-Depardieu_etal_2015_Fig"/>
    </sheetNames>
    <sheetDataSet>
      <sheetData sheetId="0">
        <row r="2">
          <cell r="B2">
            <v>4.4384858044163998E-8</v>
          </cell>
        </row>
        <row r="3">
          <cell r="B3">
            <v>1.9652996845425801E-8</v>
          </cell>
        </row>
        <row r="4">
          <cell r="B4">
            <v>4.7601476014760102E-8</v>
          </cell>
        </row>
        <row r="5">
          <cell r="B5">
            <v>4.0959409594095897E-8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B2">
            <v>1.0957264957264901</v>
          </cell>
        </row>
        <row r="3">
          <cell r="B3">
            <v>0.57435897435897398</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neko_etal_2015_FigS1"/>
    </sheetNames>
    <sheetDataSet>
      <sheetData sheetId="0">
        <row r="2">
          <cell r="B2">
            <v>2.33475479744136E-7</v>
          </cell>
        </row>
        <row r="3">
          <cell r="B3">
            <v>5.6929637526652397E-7</v>
          </cell>
        </row>
        <row r="4">
          <cell r="B4">
            <v>1.6311300639658801E-7</v>
          </cell>
        </row>
        <row r="5">
          <cell r="B5">
            <v>3.0703624733475401E-7</v>
          </cell>
        </row>
        <row r="6">
          <cell r="B6">
            <v>2.8784648187632601E-8</v>
          </cell>
        </row>
        <row r="7">
          <cell r="B7">
            <v>3.4541577825159898E-7</v>
          </cell>
        </row>
        <row r="8">
          <cell r="B8">
            <v>5.7569296375266505E-7</v>
          </cell>
        </row>
        <row r="9">
          <cell r="B9">
            <v>3.8912579957355999E-7</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ng_etal_2015_Fig5"/>
    </sheetNames>
    <sheetDataSet>
      <sheetData sheetId="0">
        <row r="2">
          <cell r="C2">
            <v>6.7740259700000005E-9</v>
          </cell>
        </row>
        <row r="3">
          <cell r="C3">
            <v>5.5064935100000006E-9</v>
          </cell>
        </row>
        <row r="4">
          <cell r="C4">
            <v>1.3672727270000001E-8</v>
          </cell>
        </row>
        <row r="5">
          <cell r="C5">
            <v>6.8779220799999999E-9</v>
          </cell>
        </row>
        <row r="6">
          <cell r="C6">
            <v>1.5931268730000001E-8</v>
          </cell>
        </row>
        <row r="7">
          <cell r="C7">
            <v>1.423376623E-8</v>
          </cell>
        </row>
        <row r="8">
          <cell r="C8">
            <v>2.6135064940000001E-8</v>
          </cell>
        </row>
        <row r="9">
          <cell r="C9">
            <v>9.6207792199999994E-9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rios-Masias_etal_2015_Fig5"/>
    </sheetNames>
    <sheetDataSet>
      <sheetData sheetId="0">
        <row r="2">
          <cell r="B2">
            <v>3.0693069306930698E-10</v>
          </cell>
        </row>
        <row r="3">
          <cell r="B3">
            <v>6.77510608203677E-10</v>
          </cell>
        </row>
        <row r="4">
          <cell r="B4">
            <v>4.8656294200848602E-10</v>
          </cell>
        </row>
        <row r="5">
          <cell r="B5">
            <v>7.5671852899575602E-10</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rios-Masias_etal_2015_Fig4c"/>
    </sheetNames>
    <sheetDataSet>
      <sheetData sheetId="0">
        <row r="2">
          <cell r="B2">
            <v>1.68587896253602E-10</v>
          </cell>
        </row>
        <row r="3">
          <cell r="B3">
            <v>3.40057636887607E-10</v>
          </cell>
        </row>
        <row r="4">
          <cell r="B4">
            <v>3.3717579250720499E-10</v>
          </cell>
        </row>
        <row r="5">
          <cell r="B5">
            <v>3.8184438040345798E-10</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14_Fig2a"/>
    </sheetNames>
    <sheetDataSet>
      <sheetData sheetId="0">
        <row r="2">
          <cell r="C2">
            <v>7.7696070578656895E-10</v>
          </cell>
        </row>
        <row r="3">
          <cell r="C3">
            <v>5.7052532505483996E-10</v>
          </cell>
        </row>
        <row r="4">
          <cell r="C4">
            <v>4.1209689784207603E-10</v>
          </cell>
        </row>
        <row r="5">
          <cell r="C5">
            <v>7.9942625278993601E-10</v>
          </cell>
        </row>
        <row r="6">
          <cell r="C6">
            <v>6.0323893523192096E-10</v>
          </cell>
        </row>
        <row r="7">
          <cell r="C7">
            <v>6.04828572946632E-10</v>
          </cell>
        </row>
        <row r="8">
          <cell r="C8">
            <v>9.3163046772047308E-10</v>
          </cell>
        </row>
        <row r="9">
          <cell r="C9">
            <v>9.1710551283900195E-10</v>
          </cell>
        </row>
        <row r="10">
          <cell r="C10">
            <v>7.1373845324751406E-10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14_Fig4"/>
    </sheetNames>
    <sheetDataSet>
      <sheetData sheetId="0">
        <row r="2">
          <cell r="C2">
            <v>5.3786713715574205E-10</v>
          </cell>
        </row>
        <row r="3">
          <cell r="C3">
            <v>6.00847257734293E-10</v>
          </cell>
        </row>
        <row r="4">
          <cell r="C4">
            <v>3.34615856362452E-10</v>
          </cell>
        </row>
        <row r="5">
          <cell r="C5">
            <v>3.7516572474502001E-10</v>
          </cell>
        </row>
        <row r="6">
          <cell r="C6">
            <v>5.5036654747190699E-10</v>
          </cell>
        </row>
        <row r="7">
          <cell r="C7">
            <v>6.0569304361773304E-10</v>
          </cell>
        </row>
        <row r="8">
          <cell r="C8">
            <v>4.0906886563700003E-10</v>
          </cell>
        </row>
        <row r="9">
          <cell r="C9">
            <v>4.3298078102444597E-10</v>
          </cell>
        </row>
        <row r="10">
          <cell r="C10">
            <v>5.6820613459887302E-10</v>
          </cell>
        </row>
        <row r="11">
          <cell r="C11">
            <v>5.2525828151978007E-10</v>
          </cell>
        </row>
        <row r="12">
          <cell r="C12">
            <v>4.62981492933657E-10</v>
          </cell>
        </row>
        <row r="13">
          <cell r="C13">
            <v>4.4384983347328506E-10</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14_Fig7b"/>
    </sheetNames>
    <sheetDataSet>
      <sheetData sheetId="0">
        <row r="2">
          <cell r="B2">
            <v>1.1999999999999999E-7</v>
          </cell>
        </row>
        <row r="3">
          <cell r="B3">
            <v>1.24E-7</v>
          </cell>
        </row>
        <row r="4">
          <cell r="B4">
            <v>6.0500000000000006E-8</v>
          </cell>
        </row>
        <row r="5">
          <cell r="B5">
            <v>8.5199999999999995E-8</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14_Fig7c"/>
    </sheetNames>
    <sheetDataSet>
      <sheetData sheetId="0">
        <row r="2">
          <cell r="B2">
            <v>84.624277456647505</v>
          </cell>
        </row>
        <row r="3">
          <cell r="B3">
            <v>79.768786127167701</v>
          </cell>
        </row>
        <row r="4">
          <cell r="B4">
            <v>84.971098265896103</v>
          </cell>
        </row>
        <row r="5">
          <cell r="B5">
            <v>77.687861271676198</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imenez-Casas&amp;Zwiazek_2014_Fig4"/>
    </sheetNames>
    <sheetDataSet>
      <sheetData sheetId="0">
        <row r="2">
          <cell r="B2">
            <v>1.37582417582417E-8</v>
          </cell>
        </row>
        <row r="3">
          <cell r="B3">
            <v>7.4285714285714302E-9</v>
          </cell>
        </row>
        <row r="4">
          <cell r="B4">
            <v>3.4725274725274701E-9</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icke_etal_2014_Fig2c"/>
    </sheetNames>
    <sheetDataSet>
      <sheetData sheetId="0">
        <row r="2">
          <cell r="B2">
            <v>4.8939641109298499E-8</v>
          </cell>
        </row>
        <row r="3">
          <cell r="B3">
            <v>1.6639477977161501E-8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n_etal_2021_Fig2"/>
    </sheetNames>
    <sheetDataSet>
      <sheetData sheetId="0">
        <row r="2">
          <cell r="C2">
            <v>1.2213E-8</v>
          </cell>
        </row>
        <row r="3">
          <cell r="C3">
            <v>1.1709300000000001E-8</v>
          </cell>
        </row>
        <row r="4">
          <cell r="C4">
            <v>6.3316699999999999E-9</v>
          </cell>
        </row>
        <row r="5">
          <cell r="C5">
            <v>9.0148100000000006E-9</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icke_etal_2014_Fig2a"/>
    </sheetNames>
    <sheetDataSet>
      <sheetData sheetId="0">
        <row r="2">
          <cell r="B2">
            <v>2.0224719101123601E-3</v>
          </cell>
        </row>
        <row r="3">
          <cell r="B3">
            <v>1.94542536115569E-3</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vo-Polanco_etal_2014_Fig1"/>
    </sheetNames>
    <sheetDataSet>
      <sheetData sheetId="0">
        <row r="2">
          <cell r="B2">
            <v>1.02165087956698E-3</v>
          </cell>
        </row>
        <row r="3">
          <cell r="B3">
            <v>1.15020297699594E-3</v>
          </cell>
        </row>
        <row r="4">
          <cell r="B4">
            <v>9.5060893098782104E-4</v>
          </cell>
        </row>
        <row r="5">
          <cell r="B5">
            <v>1.7523680649526301E-3</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iredjo_etal_2014_Fig2a"/>
    </sheetNames>
    <sheetDataSet>
      <sheetData sheetId="0">
        <row r="2">
          <cell r="B2">
            <v>1.00421052631578E-9</v>
          </cell>
        </row>
        <row r="3">
          <cell r="B3">
            <v>7.5315789473684101E-10</v>
          </cell>
        </row>
        <row r="4">
          <cell r="B4">
            <v>1.20315789473684E-9</v>
          </cell>
        </row>
        <row r="5">
          <cell r="B5">
            <v>1.0089473684210499E-9</v>
          </cell>
        </row>
        <row r="6">
          <cell r="B6">
            <v>4.5947368421052599E-10</v>
          </cell>
        </row>
        <row r="7">
          <cell r="B7">
            <v>2.7473684210526199E-10</v>
          </cell>
        </row>
        <row r="8">
          <cell r="B8">
            <v>3.4578947368420999E-10</v>
          </cell>
        </row>
        <row r="9">
          <cell r="B9">
            <v>3.3157894736842102E-10</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iredjo_etal_2014_Fig2b"/>
    </sheetNames>
    <sheetDataSet>
      <sheetData sheetId="0">
        <row r="2">
          <cell r="B2">
            <v>4.7553191489361599E-8</v>
          </cell>
        </row>
        <row r="3">
          <cell r="B3">
            <v>5.6170212765957403E-8</v>
          </cell>
        </row>
        <row r="4">
          <cell r="B4">
            <v>7.6914893617021197E-8</v>
          </cell>
        </row>
        <row r="5">
          <cell r="B5">
            <v>6.6382978723404206E-8</v>
          </cell>
        </row>
        <row r="6">
          <cell r="B6">
            <v>2.20212765957447E-8</v>
          </cell>
        </row>
        <row r="7">
          <cell r="B7">
            <v>2.04255319148936E-8</v>
          </cell>
        </row>
        <row r="8">
          <cell r="B8">
            <v>2.13829787234042E-8</v>
          </cell>
        </row>
        <row r="9">
          <cell r="B9">
            <v>2.17021276595745E-8</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ang_etal_2013_Fig5"/>
    </sheetNames>
    <sheetDataSet>
      <sheetData sheetId="0">
        <row r="6">
          <cell r="D6">
            <v>0.31445729493867602</v>
          </cell>
        </row>
        <row r="11">
          <cell r="D11">
            <v>0.28567714558096002</v>
          </cell>
        </row>
        <row r="16">
          <cell r="D16">
            <v>0.24659076594489404</v>
          </cell>
        </row>
        <row r="21">
          <cell r="D21">
            <v>0.40327061643758844</v>
          </cell>
        </row>
        <row r="26">
          <cell r="D26">
            <v>0.34532048406910681</v>
          </cell>
        </row>
        <row r="31">
          <cell r="D31">
            <v>0.3043390021263736</v>
          </cell>
        </row>
        <row r="36">
          <cell r="D36">
            <v>0.46915898711184401</v>
          </cell>
        </row>
        <row r="41">
          <cell r="D41">
            <v>0.39306929468764223</v>
          </cell>
        </row>
        <row r="46">
          <cell r="D46">
            <v>0.34012156243348884</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ku_etal_2013_Fig4d"/>
    </sheetNames>
    <sheetDataSet>
      <sheetData sheetId="0">
        <row r="2">
          <cell r="B2">
            <v>4.1958762886597905E-8</v>
          </cell>
        </row>
        <row r="3">
          <cell r="B3">
            <v>8.2783505154639099E-8</v>
          </cell>
        </row>
        <row r="4">
          <cell r="B4">
            <v>8.58762886597937E-8</v>
          </cell>
        </row>
        <row r="5">
          <cell r="B5">
            <v>7.7010309278350493E-8</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ku_etal_2013_Fig3a"/>
    </sheetNames>
    <sheetDataSet>
      <sheetData sheetId="0">
        <row r="2">
          <cell r="B2">
            <v>4.8275862068965401</v>
          </cell>
        </row>
        <row r="3">
          <cell r="B3">
            <v>14.285714285714199</v>
          </cell>
        </row>
        <row r="4">
          <cell r="B4">
            <v>20.197044334975299</v>
          </cell>
        </row>
        <row r="5">
          <cell r="B5">
            <v>63.743842364532</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ku_etal_2013_Fig3c"/>
    </sheetNames>
    <sheetDataSet>
      <sheetData sheetId="0">
        <row r="2">
          <cell r="B2">
            <v>8.8888888888891896E-4</v>
          </cell>
        </row>
        <row r="3">
          <cell r="B3">
            <v>3.2592592592592799E-3</v>
          </cell>
        </row>
        <row r="4">
          <cell r="B4">
            <v>5.20370370370368E-3</v>
          </cell>
        </row>
        <row r="5">
          <cell r="B5">
            <v>1.3611111111110999E-2</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ang_etal_2012_Fig5"/>
    </sheetNames>
    <sheetDataSet>
      <sheetData sheetId="0">
        <row r="2">
          <cell r="C2">
            <v>2.5640018534053501E-8</v>
          </cell>
        </row>
        <row r="3">
          <cell r="C3">
            <v>1.9322722826984301E-8</v>
          </cell>
        </row>
        <row r="4">
          <cell r="C4">
            <v>2.2618101008488002E-8</v>
          </cell>
        </row>
        <row r="5">
          <cell r="C5">
            <v>1.42913730115071E-8</v>
          </cell>
        </row>
        <row r="6">
          <cell r="C6">
            <v>3.18396484052485E-8</v>
          </cell>
        </row>
        <row r="7">
          <cell r="C7">
            <v>2.4413987577324103E-8</v>
          </cell>
        </row>
        <row r="8">
          <cell r="C8">
            <v>2.9865738564914198E-8</v>
          </cell>
        </row>
        <row r="9">
          <cell r="C9">
            <v>1.9925093768882999E-8</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rone_etal_2012_Fig7a"/>
    </sheetNames>
    <sheetDataSet>
      <sheetData sheetId="0">
        <row r="2">
          <cell r="C2">
            <v>5.4733785234668521E-9</v>
          </cell>
        </row>
        <row r="3">
          <cell r="C3">
            <v>6.6394861936906892E-9</v>
          </cell>
        </row>
        <row r="4">
          <cell r="C4">
            <v>1.497657158607338E-8</v>
          </cell>
        </row>
        <row r="5">
          <cell r="C5">
            <v>1.6861409444230002E-8</v>
          </cell>
        </row>
        <row r="6">
          <cell r="C6">
            <v>1.7742893779020256E-8</v>
          </cell>
        </row>
        <row r="7">
          <cell r="C7">
            <v>2.7662945624775022E-8</v>
          </cell>
        </row>
        <row r="8">
          <cell r="C8">
            <v>2.3245995721813582E-8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dama_etal_2021_Fig3a"/>
    </sheetNames>
    <sheetDataSet>
      <sheetData sheetId="0">
        <row r="2">
          <cell r="B2">
            <v>3.8473282442748001E-10</v>
          </cell>
        </row>
        <row r="3">
          <cell r="B3">
            <v>4.5801526717557201E-10</v>
          </cell>
        </row>
        <row r="4">
          <cell r="B4">
            <v>2.7277353689567401E-10</v>
          </cell>
        </row>
        <row r="5">
          <cell r="B5">
            <v>4.3562340966921102E-10</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rone_etal_2012_Fig6"/>
    </sheetNames>
    <sheetDataSet>
      <sheetData sheetId="0">
        <row r="2">
          <cell r="B2">
            <v>7.4046822742474898</v>
          </cell>
        </row>
        <row r="3">
          <cell r="B3">
            <v>4.6354515050167198</v>
          </cell>
        </row>
        <row r="4">
          <cell r="B4">
            <v>7.3444816053511701</v>
          </cell>
        </row>
        <row r="5">
          <cell r="B5">
            <v>8.6688963210702301</v>
          </cell>
        </row>
        <row r="6">
          <cell r="B6">
            <v>7.2842809364548398</v>
          </cell>
        </row>
        <row r="7">
          <cell r="B7">
            <v>9.3311036789297592</v>
          </cell>
        </row>
        <row r="8">
          <cell r="B8">
            <v>6.3812709030100301</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2_Fig3ab"/>
    </sheetNames>
    <sheetDataSet>
      <sheetData sheetId="0">
        <row r="2">
          <cell r="B2">
            <v>2.72758037225042E-8</v>
          </cell>
        </row>
        <row r="3">
          <cell r="B3">
            <v>2.3891708967851099E-8</v>
          </cell>
        </row>
        <row r="4">
          <cell r="B4">
            <v>8.0541455160744393E-9</v>
          </cell>
        </row>
        <row r="5">
          <cell r="B5">
            <v>7.3096446700507503E-9</v>
          </cell>
        </row>
        <row r="6">
          <cell r="B6">
            <v>1.1844331641285899E-8</v>
          </cell>
        </row>
        <row r="7">
          <cell r="B7">
            <v>1.6040609137055799E-8</v>
          </cell>
        </row>
        <row r="8">
          <cell r="B8">
            <v>1.4483925549915299E-8</v>
          </cell>
        </row>
        <row r="9">
          <cell r="B9">
            <v>1.4957698815566799E-8</v>
          </cell>
        </row>
        <row r="10">
          <cell r="B10">
            <v>1.1302876480541401E-8</v>
          </cell>
        </row>
        <row r="11">
          <cell r="B11">
            <v>2.68020304568527E-8</v>
          </cell>
        </row>
        <row r="12">
          <cell r="B12">
            <v>2.1184433164128501E-8</v>
          </cell>
        </row>
        <row r="13">
          <cell r="B13">
            <v>1.2318104906937299E-8</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2_Fig3cd"/>
    </sheetNames>
    <sheetDataSet>
      <sheetData sheetId="0">
        <row r="2">
          <cell r="B2">
            <v>4.9910979228486601E-8</v>
          </cell>
        </row>
        <row r="3">
          <cell r="B3">
            <v>4.5163204747774401E-8</v>
          </cell>
        </row>
        <row r="4">
          <cell r="B4">
            <v>2.0712166172106799E-8</v>
          </cell>
        </row>
        <row r="5">
          <cell r="B5">
            <v>4.1364985163204699E-8</v>
          </cell>
        </row>
        <row r="6">
          <cell r="B6">
            <v>4.6468842729970301E-8</v>
          </cell>
        </row>
        <row r="7">
          <cell r="B7">
            <v>3.5786350148367898E-8</v>
          </cell>
        </row>
        <row r="8">
          <cell r="B8">
            <v>1.81008902077151E-8</v>
          </cell>
        </row>
        <row r="9">
          <cell r="B9">
            <v>1.14540059347181E-8</v>
          </cell>
        </row>
        <row r="10">
          <cell r="B10">
            <v>2.0593471810088999E-8</v>
          </cell>
        </row>
        <row r="11">
          <cell r="B11">
            <v>1.0741839762611199E-8</v>
          </cell>
        </row>
        <row r="12">
          <cell r="B12">
            <v>2.3086053412462902E-8</v>
          </cell>
        </row>
        <row r="13">
          <cell r="B13">
            <v>1.7151335311572699E-8</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zana_etal_2012_Fig1e"/>
    </sheetNames>
    <sheetDataSet>
      <sheetData sheetId="0">
        <row r="2">
          <cell r="C2">
            <v>1.5473608098336945E-9</v>
          </cell>
        </row>
        <row r="3">
          <cell r="C3">
            <v>1.4750542299349222E-9</v>
          </cell>
        </row>
        <row r="4">
          <cell r="C4">
            <v>6.2183658712942778E-10</v>
          </cell>
        </row>
        <row r="5">
          <cell r="C5">
            <v>1.050855627862136E-9</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zana_etal_2012_Fig2e"/>
    </sheetNames>
    <sheetDataSet>
      <sheetData sheetId="0">
        <row r="2">
          <cell r="C2">
            <v>1.3561320754717001E-8</v>
          </cell>
        </row>
        <row r="3">
          <cell r="C3">
            <v>4.8480083857442502E-9</v>
          </cell>
        </row>
        <row r="4">
          <cell r="C4">
            <v>5.7651991614256105E-9</v>
          </cell>
        </row>
        <row r="5">
          <cell r="C5">
            <v>1.5723270440251749E-9</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ang_etal_2011_Fig2a"/>
    </sheetNames>
    <sheetDataSet>
      <sheetData sheetId="0">
        <row r="2">
          <cell r="B2">
            <v>8.2547373299819906</v>
          </cell>
        </row>
        <row r="3">
          <cell r="B3">
            <v>5.8940931097290497</v>
          </cell>
        </row>
        <row r="4">
          <cell r="B4">
            <v>8.1144446227070901</v>
          </cell>
        </row>
        <row r="5">
          <cell r="B5">
            <v>8.9488207925557504</v>
          </cell>
        </row>
        <row r="6">
          <cell r="B6">
            <v>6.9528222647955298</v>
          </cell>
        </row>
        <row r="7">
          <cell r="B7">
            <v>9.8583524965684397</v>
          </cell>
        </row>
        <row r="8">
          <cell r="B8">
            <v>8.42576251849475</v>
          </cell>
        </row>
        <row r="9">
          <cell r="B9">
            <v>6.0959409594095897</v>
          </cell>
        </row>
        <row r="10">
          <cell r="B10">
            <v>9.1118241617198699</v>
          </cell>
        </row>
        <row r="11">
          <cell r="B11">
            <v>9.2337727038597599</v>
          </cell>
        </row>
        <row r="12">
          <cell r="B12">
            <v>7.1260180632496803</v>
          </cell>
        </row>
        <row r="13">
          <cell r="B13">
            <v>10.1549815498154</v>
          </cell>
        </row>
        <row r="14">
          <cell r="B14">
            <v>5.9774319482325202</v>
          </cell>
        </row>
        <row r="15">
          <cell r="B15">
            <v>5.5309406290993799</v>
          </cell>
        </row>
        <row r="16">
          <cell r="B16">
            <v>6.5450394303274102</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B2">
            <v>5.3834586466165402E-8</v>
          </cell>
        </row>
        <row r="3">
          <cell r="B3">
            <v>3.6842105263157801E-8</v>
          </cell>
        </row>
        <row r="4">
          <cell r="B4">
            <v>4.796992481203E-8</v>
          </cell>
        </row>
        <row r="5">
          <cell r="B5">
            <v>5.23308270676691E-8</v>
          </cell>
        </row>
        <row r="6">
          <cell r="B6">
            <v>7.2180451127819505E-8</v>
          </cell>
        </row>
        <row r="7">
          <cell r="B7">
            <v>4.5413533834586399E-8</v>
          </cell>
        </row>
        <row r="8">
          <cell r="B8">
            <v>7.2631578947368396E-8</v>
          </cell>
        </row>
        <row r="9">
          <cell r="B9">
            <v>4.6917293233082602E-8</v>
          </cell>
        </row>
        <row r="10">
          <cell r="B10">
            <v>4.8872180451127802E-8</v>
          </cell>
        </row>
        <row r="11">
          <cell r="B11">
            <v>5.3082706766917201E-8</v>
          </cell>
        </row>
        <row r="12">
          <cell r="B12">
            <v>5.72932330827067E-8</v>
          </cell>
        </row>
        <row r="13">
          <cell r="B13">
            <v>6.5112781954887196E-8</v>
          </cell>
        </row>
        <row r="14">
          <cell r="B14">
            <v>6.6616541353383399E-8</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B2">
            <v>63.934426229508198</v>
          </cell>
        </row>
        <row r="3">
          <cell r="B3">
            <v>41.311475409836</v>
          </cell>
        </row>
        <row r="4">
          <cell r="B4">
            <v>33.770491803278603</v>
          </cell>
        </row>
        <row r="5">
          <cell r="B5">
            <v>45.9016393442622</v>
          </cell>
        </row>
        <row r="6">
          <cell r="B6">
            <v>48.852459016393396</v>
          </cell>
        </row>
        <row r="7">
          <cell r="B7">
            <v>55.4098360655737</v>
          </cell>
        </row>
        <row r="8">
          <cell r="B8">
            <v>60</v>
          </cell>
        </row>
        <row r="9">
          <cell r="B9">
            <v>44.262295081967203</v>
          </cell>
        </row>
        <row r="10">
          <cell r="B10">
            <v>46.885245901639301</v>
          </cell>
        </row>
        <row r="11">
          <cell r="B11">
            <v>48.852459016393396</v>
          </cell>
        </row>
        <row r="12">
          <cell r="B12">
            <v>51.475409836065502</v>
          </cell>
        </row>
        <row r="13">
          <cell r="B13">
            <v>50.819672131147499</v>
          </cell>
        </row>
        <row r="14">
          <cell r="B14">
            <v>60.655737704918003</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u_etal_2011_Fig3"/>
    </sheetNames>
    <sheetDataSet>
      <sheetData sheetId="0">
        <row r="2">
          <cell r="B2">
            <v>5</v>
          </cell>
          <cell r="C2">
            <v>9.9999999999999903E-10</v>
          </cell>
        </row>
        <row r="3">
          <cell r="B3">
            <v>5</v>
          </cell>
          <cell r="C3">
            <v>1.1269841269841199E-9</v>
          </cell>
        </row>
        <row r="4">
          <cell r="B4">
            <v>5</v>
          </cell>
          <cell r="C4">
            <v>1.1269841269841199E-9</v>
          </cell>
        </row>
        <row r="5">
          <cell r="B5">
            <v>15</v>
          </cell>
          <cell r="C5">
            <v>1.3650793650793601E-9</v>
          </cell>
        </row>
        <row r="6">
          <cell r="B6">
            <v>15</v>
          </cell>
          <cell r="C6">
            <v>1.23015873015872E-9</v>
          </cell>
        </row>
        <row r="7">
          <cell r="B7">
            <v>15</v>
          </cell>
          <cell r="C7">
            <v>1.2499999999999901E-9</v>
          </cell>
        </row>
        <row r="8">
          <cell r="B8">
            <v>25</v>
          </cell>
          <cell r="C8">
            <v>1.8174603174603101E-9</v>
          </cell>
        </row>
        <row r="9">
          <cell r="B9">
            <v>25</v>
          </cell>
          <cell r="C9">
            <v>1.5396825396825301E-9</v>
          </cell>
        </row>
        <row r="10">
          <cell r="B10">
            <v>25</v>
          </cell>
          <cell r="C10">
            <v>1.61111111111111E-9</v>
          </cell>
        </row>
        <row r="11">
          <cell r="B11">
            <v>35</v>
          </cell>
          <cell r="C11">
            <v>2.7142857142857099E-9</v>
          </cell>
        </row>
        <row r="12">
          <cell r="B12">
            <v>35</v>
          </cell>
          <cell r="C12">
            <v>2.1071428571428501E-9</v>
          </cell>
        </row>
        <row r="13">
          <cell r="B13">
            <v>35</v>
          </cell>
          <cell r="C13">
            <v>2.38888888888888E-9</v>
          </cell>
        </row>
      </sheetData>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u_etal_2011_Fig9a"/>
    </sheetNames>
    <sheetDataSet>
      <sheetData sheetId="0">
        <row r="3">
          <cell r="C3">
            <v>56.193939393939303</v>
          </cell>
        </row>
        <row r="5">
          <cell r="C5">
            <v>50.860606060606003</v>
          </cell>
        </row>
        <row r="7">
          <cell r="C7">
            <v>51.668686868686699</v>
          </cell>
        </row>
        <row r="9">
          <cell r="C9">
            <v>141.23636363636359</v>
          </cell>
        </row>
        <row r="11">
          <cell r="C11">
            <v>116.7999999999999</v>
          </cell>
        </row>
        <row r="13">
          <cell r="C13">
            <v>120.6787878787878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dama_etal_2021_Fig3c"/>
    </sheetNames>
    <sheetDataSet>
      <sheetData sheetId="0">
        <row r="2">
          <cell r="B2">
            <v>1.4282115869017599E-7</v>
          </cell>
        </row>
        <row r="3">
          <cell r="B3">
            <v>1.63979848866498E-7</v>
          </cell>
        </row>
        <row r="4">
          <cell r="B4">
            <v>9.6725440806045005E-8</v>
          </cell>
        </row>
        <row r="5">
          <cell r="B5">
            <v>1.63979848866498E-7</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rie_etal_2011_Fig7"/>
    </sheetNames>
    <sheetDataSet>
      <sheetData sheetId="0">
        <row r="2">
          <cell r="B2">
            <v>5.1116389548693497E-7</v>
          </cell>
        </row>
        <row r="3">
          <cell r="B3">
            <v>3.3254156769596198E-7</v>
          </cell>
        </row>
        <row r="4">
          <cell r="B4">
            <v>3.0213776722090199E-7</v>
          </cell>
        </row>
        <row r="5">
          <cell r="B5">
            <v>2.0902612826603301E-8</v>
          </cell>
        </row>
        <row r="6">
          <cell r="B6">
            <v>6.8408551068883604E-8</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ndeleur_etal_2009_Fig2"/>
    </sheetNames>
    <sheetDataSet>
      <sheetData sheetId="0">
        <row r="2">
          <cell r="B2">
            <v>6.4454732510287996E-10</v>
          </cell>
        </row>
        <row r="3">
          <cell r="B3">
            <v>1.3143004115226301E-9</v>
          </cell>
        </row>
        <row r="4">
          <cell r="B4">
            <v>5.14917695473251E-10</v>
          </cell>
        </row>
        <row r="5">
          <cell r="B5">
            <v>1.11985596707818E-9</v>
          </cell>
        </row>
        <row r="6">
          <cell r="B6">
            <v>1.26028806584362E-10</v>
          </cell>
        </row>
        <row r="7">
          <cell r="B7">
            <v>7.0216049382715996E-10</v>
          </cell>
        </row>
        <row r="8">
          <cell r="B8">
            <v>1.1882716049382699E-10</v>
          </cell>
        </row>
        <row r="9">
          <cell r="B9">
            <v>2.5565843621399098E-10</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iz-Lozano_etal_2009_Fig1b"/>
    </sheetNames>
    <sheetDataSet>
      <sheetData sheetId="0">
        <row r="2">
          <cell r="C2">
            <v>5.0935550935550834E-11</v>
          </cell>
        </row>
        <row r="3">
          <cell r="C3">
            <v>3.8721413721413614E-11</v>
          </cell>
        </row>
        <row r="4">
          <cell r="C4">
            <v>1.7125779625779609E-10</v>
          </cell>
        </row>
        <row r="5">
          <cell r="C5">
            <v>1.1564449064449056E-10</v>
          </cell>
        </row>
        <row r="6">
          <cell r="C6">
            <v>3.1964656964656943E-11</v>
          </cell>
        </row>
        <row r="7">
          <cell r="C7">
            <v>9.0956340956341097E-12</v>
          </cell>
        </row>
        <row r="8">
          <cell r="C8">
            <v>1.0057172557172555E-10</v>
          </cell>
        </row>
        <row r="9">
          <cell r="C9">
            <v>4.8596673596673607E-11</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ent_etal_2009_Fig5b"/>
    </sheetNames>
    <sheetDataSet>
      <sheetData sheetId="0">
        <row r="2">
          <cell r="B2">
            <v>3.1472081218274E-8</v>
          </cell>
        </row>
        <row r="3">
          <cell r="B3">
            <v>5.9898477157360307E-8</v>
          </cell>
        </row>
        <row r="4">
          <cell r="B4">
            <v>2.4873096446700498E-7</v>
          </cell>
        </row>
        <row r="5">
          <cell r="B5">
            <v>1.21827411167513E-8</v>
          </cell>
        </row>
        <row r="6">
          <cell r="B6">
            <v>1.62436548223351E-8</v>
          </cell>
        </row>
        <row r="7">
          <cell r="B7">
            <v>4.7715736040608901E-8</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ent_etal_2009_Fig5c"/>
    </sheetNames>
    <sheetDataSet>
      <sheetData sheetId="0">
        <row r="2">
          <cell r="B2">
            <v>4.21E-8</v>
          </cell>
        </row>
        <row r="3">
          <cell r="B3">
            <v>9.7100000000000003E-8</v>
          </cell>
        </row>
        <row r="4">
          <cell r="B4">
            <v>2.9200000000000002E-7</v>
          </cell>
        </row>
        <row r="5">
          <cell r="B5">
            <v>1.3524590163934501E-8</v>
          </cell>
        </row>
        <row r="6">
          <cell r="B6">
            <v>2.5819672131147399E-8</v>
          </cell>
        </row>
        <row r="7">
          <cell r="B7">
            <v>9.7131147540983494E-8</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i_etal_2010_Fig2c"/>
    </sheetNames>
    <sheetDataSet>
      <sheetData sheetId="0">
        <row r="2">
          <cell r="C2">
            <v>6.2663285665003397E-11</v>
          </cell>
        </row>
        <row r="3">
          <cell r="C3">
            <v>7.4608183916489293E-11</v>
          </cell>
        </row>
        <row r="4">
          <cell r="C4">
            <v>6.4768706055573098E-11</v>
          </cell>
        </row>
        <row r="5">
          <cell r="C5">
            <v>5.4767959200366997E-11</v>
          </cell>
        </row>
        <row r="6">
          <cell r="C6">
            <v>6.9330450235140793E-11</v>
          </cell>
        </row>
        <row r="7">
          <cell r="C7">
            <v>7.9506648789561093E-11</v>
          </cell>
        </row>
        <row r="8">
          <cell r="C8">
            <v>7.2664032520209505E-11</v>
          </cell>
        </row>
        <row r="9">
          <cell r="C9">
            <v>7.5797098577604897E-11</v>
          </cell>
        </row>
        <row r="10">
          <cell r="C10">
            <v>7.2664032520209505E-11</v>
          </cell>
        </row>
        <row r="11">
          <cell r="C11">
            <v>6.7387193340767394E-11</v>
          </cell>
        </row>
        <row r="12">
          <cell r="C12">
            <v>6.7295921814929196E-11</v>
          </cell>
        </row>
        <row r="13">
          <cell r="C13">
            <v>6.5615141955835899E-11</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i_etal_2010_Fig1a"/>
    </sheetNames>
    <sheetDataSet>
      <sheetData sheetId="0">
        <row r="2">
          <cell r="B2">
            <v>0.53125</v>
          </cell>
        </row>
        <row r="3">
          <cell r="B3">
            <v>0.70833333333333104</v>
          </cell>
        </row>
        <row r="4">
          <cell r="B4">
            <v>0.70833333333333104</v>
          </cell>
        </row>
        <row r="5">
          <cell r="B5">
            <v>0.437499999999998</v>
          </cell>
        </row>
        <row r="6">
          <cell r="B6">
            <v>0.70833333333333204</v>
          </cell>
        </row>
        <row r="7">
          <cell r="B7">
            <v>0.593749999999999</v>
          </cell>
        </row>
        <row r="8">
          <cell r="B8">
            <v>0.749999999999999</v>
          </cell>
        </row>
        <row r="9">
          <cell r="B9">
            <v>0.79166666666666696</v>
          </cell>
        </row>
        <row r="10">
          <cell r="B10">
            <v>0.91666666666666596</v>
          </cell>
        </row>
        <row r="11">
          <cell r="B11">
            <v>0.55208333333333204</v>
          </cell>
        </row>
        <row r="12">
          <cell r="B12">
            <v>0.64583333333333304</v>
          </cell>
        </row>
        <row r="13">
          <cell r="B13">
            <v>0.72916666666666596</v>
          </cell>
        </row>
      </sheetData>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i_etal_2010_Fig1e"/>
    </sheetNames>
    <sheetDataSet>
      <sheetData sheetId="0">
        <row r="2">
          <cell r="C2">
            <v>2.6521769974284001E-2</v>
          </cell>
        </row>
        <row r="3">
          <cell r="C3">
            <v>2.7793901620238301E-2</v>
          </cell>
        </row>
        <row r="4">
          <cell r="C4">
            <v>2.36614347787533E-2</v>
          </cell>
        </row>
        <row r="5">
          <cell r="C5">
            <v>2.3247216204917698E-2</v>
          </cell>
        </row>
        <row r="6">
          <cell r="C6">
            <v>2.9551628472618104E-2</v>
          </cell>
        </row>
        <row r="7">
          <cell r="C7">
            <v>2.8951038143376597E-2</v>
          </cell>
        </row>
        <row r="8">
          <cell r="C8">
            <v>1.96948552910245E-2</v>
          </cell>
        </row>
        <row r="9">
          <cell r="C9">
            <v>2.10677105106475E-2</v>
          </cell>
        </row>
        <row r="10">
          <cell r="C10">
            <v>1.7930011247859E-2</v>
          </cell>
        </row>
        <row r="11">
          <cell r="C11">
            <v>2.11264292681691E-2</v>
          </cell>
        </row>
        <row r="12">
          <cell r="C12">
            <v>2.2264274946477702E-2</v>
          </cell>
        </row>
        <row r="13">
          <cell r="C13">
            <v>2.24591646714551E-2</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emens&amp;Zwiazek_2008_Fig3c"/>
    </sheetNames>
    <sheetDataSet>
      <sheetData sheetId="0">
        <row r="2">
          <cell r="C2">
            <v>2.0000000000000002E-11</v>
          </cell>
        </row>
        <row r="3">
          <cell r="C3">
            <v>3.1900000000000001E-11</v>
          </cell>
        </row>
        <row r="4">
          <cell r="C4">
            <v>2.1987577639751499E-11</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emens&amp;Zwiazek_2008_Fig3b"/>
    </sheetNames>
    <sheetDataSet>
      <sheetData sheetId="0">
        <row r="2">
          <cell r="B2">
            <v>5.4579439252336401</v>
          </cell>
        </row>
        <row r="3">
          <cell r="B3">
            <v>5.0467289719626196</v>
          </cell>
        </row>
        <row r="4">
          <cell r="B4">
            <v>7.9626168224299096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dama_etal_2021_Fig3b"/>
    </sheetNames>
    <sheetDataSet>
      <sheetData sheetId="0">
        <row r="2">
          <cell r="C2">
            <v>28.233830845771102</v>
          </cell>
        </row>
        <row r="3">
          <cell r="C3">
            <v>29.353233830845699</v>
          </cell>
        </row>
        <row r="4">
          <cell r="C4">
            <v>28.482587064676601</v>
          </cell>
        </row>
        <row r="5">
          <cell r="C5">
            <v>26.990049751243703</v>
          </cell>
        </row>
      </sheetData>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hdieh_etal_2008_Fig2b"/>
    </sheetNames>
    <sheetDataSet>
      <sheetData sheetId="0">
        <row r="2">
          <cell r="C2">
            <v>2.13252E-9</v>
          </cell>
        </row>
        <row r="3">
          <cell r="C3">
            <v>2.0991099999999998E-9</v>
          </cell>
        </row>
        <row r="4">
          <cell r="C4">
            <v>2.0991099999999998E-9</v>
          </cell>
        </row>
        <row r="5">
          <cell r="C5">
            <v>2.0783300000000002E-9</v>
          </cell>
        </row>
        <row r="6">
          <cell r="C6">
            <v>1.3680600000000001E-10</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vo-Polanco_etal_2008_Fig4"/>
    </sheetNames>
    <sheetDataSet>
      <sheetData sheetId="0">
        <row r="2">
          <cell r="C2">
            <v>1.31171171171171E-9</v>
          </cell>
        </row>
        <row r="3">
          <cell r="C3">
            <v>5.0930930930930905E-10</v>
          </cell>
        </row>
        <row r="4">
          <cell r="C4">
            <v>6.1501501501501502E-10</v>
          </cell>
        </row>
        <row r="5">
          <cell r="C5">
            <v>7.0630630630630606E-10</v>
          </cell>
        </row>
        <row r="6">
          <cell r="C6">
            <v>5.9099099099099102E-10</v>
          </cell>
        </row>
        <row r="7">
          <cell r="C7">
            <v>2.4744744744744706E-10</v>
          </cell>
        </row>
        <row r="8">
          <cell r="C8">
            <v>4.5165165165165101E-10</v>
          </cell>
        </row>
        <row r="9">
          <cell r="C9">
            <v>4.6126126126126101E-10</v>
          </cell>
        </row>
        <row r="10">
          <cell r="C10">
            <v>5.6696696696696703E-10</v>
          </cell>
        </row>
        <row r="11">
          <cell r="C11">
            <v>6.4864864864864797E-10</v>
          </cell>
        </row>
        <row r="12">
          <cell r="C12">
            <v>1.0138138138138099E-9</v>
          </cell>
        </row>
        <row r="13">
          <cell r="C13">
            <v>7.9279279279279204E-10</v>
          </cell>
        </row>
        <row r="14">
          <cell r="C14">
            <v>3.3873873873873799E-10</v>
          </cell>
        </row>
        <row r="15">
          <cell r="C15">
            <v>2.2822822822822803E-10</v>
          </cell>
        </row>
        <row r="16">
          <cell r="C16">
            <v>3.6276276276276302E-10</v>
          </cell>
        </row>
        <row r="17">
          <cell r="C17">
            <v>6.1501501501501502E-10</v>
          </cell>
        </row>
      </sheetData>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vo-Polanco_etal_2008_Fig1ab"/>
    </sheetNames>
    <sheetDataSet>
      <sheetData sheetId="0">
        <row r="2">
          <cell r="C2">
            <v>3.3980015262806518</v>
          </cell>
        </row>
        <row r="3">
          <cell r="C3">
            <v>2.4088016967126218</v>
          </cell>
        </row>
        <row r="4">
          <cell r="C4">
            <v>2.6691081430417984</v>
          </cell>
        </row>
        <row r="5">
          <cell r="C5">
            <v>2.623853811894159</v>
          </cell>
        </row>
        <row r="6">
          <cell r="C6">
            <v>2.6859440559440637</v>
          </cell>
        </row>
        <row r="7">
          <cell r="C7">
            <v>2.2062386721358433</v>
          </cell>
        </row>
        <row r="8">
          <cell r="C8">
            <v>2.4552059888443156</v>
          </cell>
        </row>
        <row r="9">
          <cell r="C9">
            <v>2.254982254982258</v>
          </cell>
        </row>
        <row r="10">
          <cell r="C10">
            <v>3.0077223260415558</v>
          </cell>
        </row>
        <row r="11">
          <cell r="C11">
            <v>2.5267379679144448</v>
          </cell>
        </row>
        <row r="12">
          <cell r="C12">
            <v>3.3622795115332536</v>
          </cell>
        </row>
        <row r="13">
          <cell r="C13">
            <v>2.8943835751653451</v>
          </cell>
        </row>
        <row r="14">
          <cell r="C14">
            <v>2.6103444643421581</v>
          </cell>
        </row>
        <row r="15">
          <cell r="C15">
            <v>2.3595269118973681</v>
          </cell>
        </row>
        <row r="16">
          <cell r="C16">
            <v>2.4600930565497534</v>
          </cell>
        </row>
        <row r="17">
          <cell r="C17">
            <v>2.4395016151361393</v>
          </cell>
        </row>
      </sheetData>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ompson_etal_2007_Fig5"/>
    </sheetNames>
    <sheetDataSet>
      <sheetData sheetId="0">
        <row r="2">
          <cell r="C2">
            <v>5.8362884160756392E-9</v>
          </cell>
        </row>
        <row r="3">
          <cell r="C3">
            <v>1.019503546099289E-8</v>
          </cell>
        </row>
        <row r="4">
          <cell r="C4">
            <v>2.2754137115839224E-8</v>
          </cell>
        </row>
        <row r="5">
          <cell r="C5">
            <v>1.1155437352245861E-8</v>
          </cell>
        </row>
        <row r="6">
          <cell r="C6">
            <v>2.6152482269503553E-8</v>
          </cell>
        </row>
        <row r="7">
          <cell r="C7">
            <v>3.5091607565011671E-8</v>
          </cell>
        </row>
      </sheetData>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ggiero&amp;Angelino_2007_Fig2"/>
    </sheetNames>
    <sheetDataSet>
      <sheetData sheetId="0">
        <row r="2">
          <cell r="A2">
            <v>93</v>
          </cell>
          <cell r="B2">
            <v>2.1087231352717999E-8</v>
          </cell>
        </row>
        <row r="3">
          <cell r="A3">
            <v>93</v>
          </cell>
          <cell r="B3">
            <v>1.45132743362831E-8</v>
          </cell>
        </row>
        <row r="4">
          <cell r="A4">
            <v>93</v>
          </cell>
          <cell r="B4">
            <v>1.4917825537294501E-8</v>
          </cell>
        </row>
        <row r="5">
          <cell r="A5">
            <v>93</v>
          </cell>
          <cell r="B5">
            <v>8.3438685208596699E-9</v>
          </cell>
        </row>
        <row r="6">
          <cell r="A6">
            <v>114</v>
          </cell>
          <cell r="B6">
            <v>3.4134007585335003E-8</v>
          </cell>
        </row>
        <row r="7">
          <cell r="A7">
            <v>114</v>
          </cell>
          <cell r="B7">
            <v>2.1795195954487901E-8</v>
          </cell>
        </row>
        <row r="8">
          <cell r="A8">
            <v>114</v>
          </cell>
          <cell r="B8">
            <v>1.08723135271807E-8</v>
          </cell>
        </row>
        <row r="9">
          <cell r="A9">
            <v>114</v>
          </cell>
          <cell r="B9">
            <v>1.05689001264222E-8</v>
          </cell>
        </row>
        <row r="10">
          <cell r="A10">
            <v>107</v>
          </cell>
          <cell r="B10">
            <v>1.40573318632855E-8</v>
          </cell>
        </row>
        <row r="11">
          <cell r="A11">
            <v>107</v>
          </cell>
          <cell r="B11">
            <v>7.8280044101433192E-9</v>
          </cell>
        </row>
        <row r="12">
          <cell r="A12">
            <v>107</v>
          </cell>
          <cell r="B12">
            <v>4.0242557883131099E-9</v>
          </cell>
        </row>
        <row r="13">
          <cell r="A13">
            <v>107</v>
          </cell>
          <cell r="B13">
            <v>2.5358324145534701E-9</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ggiero&amp;Angelino_2007_Fig1"/>
    </sheetNames>
    <sheetDataSet>
      <sheetData sheetId="0">
        <row r="2">
          <cell r="B2">
            <v>2326.39714625445</v>
          </cell>
        </row>
        <row r="3">
          <cell r="B3">
            <v>1885.2556480380499</v>
          </cell>
        </row>
        <row r="4">
          <cell r="B4">
            <v>2800.8323424494602</v>
          </cell>
        </row>
        <row r="5">
          <cell r="B5">
            <v>2243.1629013079601</v>
          </cell>
        </row>
      </sheetData>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audette_etal_2007_Fig2"/>
    </sheetNames>
    <sheetDataSet>
      <sheetData sheetId="0">
        <row r="2">
          <cell r="C2">
            <v>1.2784302759134966E-8</v>
          </cell>
        </row>
        <row r="3">
          <cell r="C3">
            <v>6.2981605766840494E-9</v>
          </cell>
        </row>
        <row r="4">
          <cell r="C4">
            <v>6.7253914988814166E-9</v>
          </cell>
        </row>
        <row r="5">
          <cell r="C5">
            <v>8.3566368381804502E-9</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audette_etal_2007_Fig3"/>
    </sheetNames>
    <sheetDataSet>
      <sheetData sheetId="0">
        <row r="2">
          <cell r="C2">
            <v>1.1748844375963016E-8</v>
          </cell>
        </row>
        <row r="4">
          <cell r="C4">
            <v>1.4702105803800717E-8</v>
          </cell>
        </row>
        <row r="5">
          <cell r="C5">
            <v>2.8826399589111333E-8</v>
          </cell>
        </row>
        <row r="6">
          <cell r="C6">
            <v>6.8695428864920334E-9</v>
          </cell>
        </row>
      </sheetData>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_eatl_2006_Fig1b"/>
    </sheetNames>
    <sheetDataSet>
      <sheetData sheetId="0">
        <row r="2">
          <cell r="B2">
            <v>4.1393548387096701E-7</v>
          </cell>
        </row>
        <row r="3">
          <cell r="B3">
            <v>3.3961290322580602E-7</v>
          </cell>
        </row>
        <row r="4">
          <cell r="B4">
            <v>1.02193548387096E-7</v>
          </cell>
        </row>
        <row r="5">
          <cell r="B5">
            <v>6.4412903225806401E-7</v>
          </cell>
        </row>
        <row r="6">
          <cell r="B6">
            <v>4.4283870967741898E-7</v>
          </cell>
        </row>
        <row r="7">
          <cell r="B7">
            <v>2.36387096774193E-7</v>
          </cell>
        </row>
      </sheetData>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oca_etal_2006_Fig3b"/>
    </sheetNames>
    <sheetDataSet>
      <sheetData sheetId="0">
        <row r="2">
          <cell r="C2">
            <v>5.5000000000000004E-9</v>
          </cell>
        </row>
        <row r="3">
          <cell r="C3">
            <v>2.9444444444444445E-9</v>
          </cell>
        </row>
        <row r="4">
          <cell r="C4">
            <v>7.7520802741066938E-9</v>
          </cell>
        </row>
        <row r="5">
          <cell r="C5">
            <v>3.2550171316691107E-9</v>
          </cell>
        </row>
        <row r="6">
          <cell r="C6">
            <v>7.4094468918257223E-9</v>
          </cell>
        </row>
        <row r="7">
          <cell r="C7">
            <v>1.7302985805188416E-8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driguez-Dominguez&amp;Brodribb_20"/>
    </sheetNames>
    <sheetDataSet>
      <sheetData sheetId="0">
        <row r="2">
          <cell r="C2">
            <v>2.2604651162790657E-8</v>
          </cell>
        </row>
        <row r="3">
          <cell r="C3">
            <v>2.1348837209302198E-8</v>
          </cell>
        </row>
        <row r="4">
          <cell r="C4">
            <v>2.3232558139534796E-8</v>
          </cell>
        </row>
      </sheetData>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imidzu_etal_2005_Fig1a"/>
    </sheetNames>
    <sheetDataSet>
      <sheetData sheetId="0">
        <row r="2">
          <cell r="B2">
            <v>8.1317494600431896E-8</v>
          </cell>
        </row>
        <row r="3">
          <cell r="B3">
            <v>6.7386609071274306E-8</v>
          </cell>
        </row>
        <row r="4">
          <cell r="B4">
            <v>5.8963282937365001E-8</v>
          </cell>
        </row>
        <row r="5">
          <cell r="B5">
            <v>3.8552915766738602E-8</v>
          </cell>
        </row>
        <row r="6">
          <cell r="B6">
            <v>1.20518358531317E-7</v>
          </cell>
        </row>
        <row r="7">
          <cell r="B7">
            <v>6.6090712742980502E-8</v>
          </cell>
        </row>
        <row r="8">
          <cell r="B8">
            <v>8.8120950323973998E-8</v>
          </cell>
        </row>
        <row r="9">
          <cell r="B9">
            <v>4.2764578833693201E-8</v>
          </cell>
        </row>
        <row r="10">
          <cell r="B10">
            <v>1.1403887688984799E-7</v>
          </cell>
        </row>
        <row r="11">
          <cell r="B11">
            <v>4.7300215982721298E-8</v>
          </cell>
        </row>
        <row r="12">
          <cell r="B12">
            <v>1.2570194384449201E-7</v>
          </cell>
        </row>
        <row r="13">
          <cell r="B13">
            <v>1.9762419006479401E-8</v>
          </cell>
        </row>
      </sheetData>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imidzu_etal_2005_Fig1d"/>
    </sheetNames>
    <sheetDataSet>
      <sheetData sheetId="0">
        <row r="2">
          <cell r="B2">
            <v>67.075664621676907</v>
          </cell>
        </row>
        <row r="3">
          <cell r="B3">
            <v>37.0143149284252</v>
          </cell>
        </row>
        <row r="4">
          <cell r="B4">
            <v>69.529652351738207</v>
          </cell>
        </row>
        <row r="5">
          <cell r="B5">
            <v>55.828220858895499</v>
          </cell>
        </row>
        <row r="6">
          <cell r="B6">
            <v>40.899795501022503</v>
          </cell>
        </row>
        <row r="7">
          <cell r="B7">
            <v>30.2658486707567</v>
          </cell>
        </row>
        <row r="8">
          <cell r="B8">
            <v>58.895705521472301</v>
          </cell>
        </row>
        <row r="9">
          <cell r="B9">
            <v>44.580777096114403</v>
          </cell>
        </row>
        <row r="10">
          <cell r="B10">
            <v>71.574642126789399</v>
          </cell>
        </row>
        <row r="11">
          <cell r="B11">
            <v>43.762781186094003</v>
          </cell>
        </row>
        <row r="12">
          <cell r="B12">
            <v>24.744376278118501</v>
          </cell>
        </row>
        <row r="13">
          <cell r="B13">
            <v>37.8323108384458</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janovic_etal_2005_Fig1"/>
    </sheetNames>
    <sheetDataSet>
      <sheetData sheetId="0">
        <row r="2">
          <cell r="C2">
            <v>5.4821428571428491E-6</v>
          </cell>
        </row>
        <row r="3">
          <cell r="C3">
            <v>3.4464285714285696E-6</v>
          </cell>
        </row>
      </sheetData>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icu&amp;Zwiazek_2004_Fig4"/>
    </sheetNames>
    <sheetDataSet>
      <sheetData sheetId="0">
        <row r="2">
          <cell r="B2">
            <v>5.7857142857142802E-10</v>
          </cell>
        </row>
        <row r="3">
          <cell r="B3">
            <v>5.7272727272727195E-10</v>
          </cell>
        </row>
        <row r="4">
          <cell r="B4">
            <v>7.2662337662337603E-10</v>
          </cell>
        </row>
        <row r="5">
          <cell r="B5">
            <v>9.9350649350649194E-11</v>
          </cell>
        </row>
        <row r="6">
          <cell r="B6">
            <v>6.3116883116883098E-10</v>
          </cell>
        </row>
        <row r="7">
          <cell r="B7">
            <v>7.4025974025973799E-11</v>
          </cell>
        </row>
      </sheetData>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emens&amp;Zwiazek_2004_Fig1"/>
    </sheetNames>
    <sheetDataSet>
      <sheetData sheetId="0">
        <row r="2">
          <cell r="B2">
            <v>7.0292887029288606E-8</v>
          </cell>
        </row>
        <row r="4">
          <cell r="B4">
            <v>3.1380753138075303E-8</v>
          </cell>
        </row>
      </sheetData>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lkonian_etal_2004_Fig1d"/>
    </sheetNames>
    <sheetDataSet>
      <sheetData sheetId="0">
        <row r="2">
          <cell r="B2">
            <v>1.0136518771331E-9</v>
          </cell>
        </row>
        <row r="3">
          <cell r="B3">
            <v>1.0085324232081901E-9</v>
          </cell>
        </row>
        <row r="4">
          <cell r="B4">
            <v>9.3686006825938504E-10</v>
          </cell>
        </row>
        <row r="5">
          <cell r="B5">
            <v>2.15017064846418E-10</v>
          </cell>
        </row>
        <row r="6">
          <cell r="B6">
            <v>9.0614334470989798E-10</v>
          </cell>
        </row>
        <row r="7">
          <cell r="B7">
            <v>3.9931740614334501E-10</v>
          </cell>
        </row>
      </sheetData>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lam&amp;Macdonald_2004_Fig2a"/>
    </sheetNames>
    <sheetDataSet>
      <sheetData sheetId="0">
        <row r="2">
          <cell r="C2">
            <v>8.4837905236907698E-9</v>
          </cell>
        </row>
        <row r="3">
          <cell r="C3">
            <v>5.9700748129675803E-9</v>
          </cell>
        </row>
        <row r="4">
          <cell r="C4">
            <v>7.9900249376558609E-9</v>
          </cell>
        </row>
        <row r="5">
          <cell r="C5">
            <v>3.7705735660847802E-9</v>
          </cell>
        </row>
      </sheetData>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ostol_etal_2004_Fig1b"/>
    </sheetNames>
    <sheetDataSet>
      <sheetData sheetId="0">
        <row r="2">
          <cell r="B2">
            <v>2.32867132867132E-9</v>
          </cell>
        </row>
        <row r="3">
          <cell r="B3">
            <v>5.9790209790209597E-10</v>
          </cell>
        </row>
        <row r="4">
          <cell r="B4">
            <v>5.5594405594405598E-10</v>
          </cell>
        </row>
        <row r="5">
          <cell r="B5">
            <v>2.6223776223776201E-10</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2003_Fig4"/>
    </sheetNames>
    <sheetDataSet>
      <sheetData sheetId="0">
        <row r="2">
          <cell r="C2">
            <v>5.8688560737034604E-8</v>
          </cell>
        </row>
        <row r="3">
          <cell r="C3">
            <v>1.7187793440819403E-8</v>
          </cell>
        </row>
        <row r="4">
          <cell r="C4">
            <v>5.5385518580854705E-8</v>
          </cell>
        </row>
        <row r="5">
          <cell r="C5">
            <v>1.7187793440819403E-8</v>
          </cell>
        </row>
        <row r="6">
          <cell r="C6">
            <v>9.3015100387466607E-9</v>
          </cell>
        </row>
        <row r="7">
          <cell r="C7">
            <v>5.4747561468919799E-8</v>
          </cell>
        </row>
        <row r="8">
          <cell r="C8">
            <v>1.02048125448968E-8</v>
          </cell>
        </row>
        <row r="9">
          <cell r="C9">
            <v>5.5385518580854705E-8</v>
          </cell>
        </row>
        <row r="10">
          <cell r="C10">
            <v>1.44460271809601E-8</v>
          </cell>
        </row>
        <row r="11">
          <cell r="C11">
            <v>1.9076695370577902E-8</v>
          </cell>
        </row>
        <row r="12">
          <cell r="C12">
            <v>7.1464120013379808E-8</v>
          </cell>
        </row>
        <row r="13">
          <cell r="C13">
            <v>1.6220449795076998E-8</v>
          </cell>
        </row>
        <row r="14">
          <cell r="C14">
            <v>2.5191722381740801E-8</v>
          </cell>
        </row>
        <row r="15">
          <cell r="C15">
            <v>1.00872685928713E-8</v>
          </cell>
        </row>
        <row r="16">
          <cell r="C16">
            <v>2.19220166439276E-8</v>
          </cell>
        </row>
        <row r="17">
          <cell r="C17">
            <v>6.9022980808945901E-8</v>
          </cell>
        </row>
        <row r="18">
          <cell r="C18">
            <v>1.7187793440819403E-8</v>
          </cell>
        </row>
        <row r="19">
          <cell r="C19">
            <v>2.4331199630998602E-8</v>
          </cell>
        </row>
        <row r="20">
          <cell r="C20">
            <v>1.4279630873487701E-8</v>
          </cell>
        </row>
        <row r="21">
          <cell r="C21">
            <v>1.1458281746197701E-8</v>
          </cell>
        </row>
        <row r="23">
          <cell r="C23">
            <v>1.6510104620782698E-8</v>
          </cell>
        </row>
        <row r="24">
          <cell r="C24">
            <v>3.57420612475039E-8</v>
          </cell>
        </row>
        <row r="25">
          <cell r="C25">
            <v>1.2969643012636899E-8</v>
          </cell>
        </row>
        <row r="26">
          <cell r="C26">
            <v>8.7441797690641017E-9</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arro_etal_2003_Fig4c"/>
    </sheetNames>
    <sheetDataSet>
      <sheetData sheetId="0">
        <row r="2">
          <cell r="C2">
            <v>1.5593491696093057E-10</v>
          </cell>
        </row>
        <row r="3">
          <cell r="C3">
            <v>8.5137757694971114E-11</v>
          </cell>
        </row>
        <row r="4">
          <cell r="C4">
            <v>6.4664354686236667E-11</v>
          </cell>
        </row>
        <row r="5">
          <cell r="C5">
            <v>3.9411629946202784E-11</v>
          </cell>
        </row>
        <row r="6">
          <cell r="C6">
            <v>1.5593360034337361E-10</v>
          </cell>
        </row>
        <row r="7">
          <cell r="C7">
            <v>9.5419224196270556E-11</v>
          </cell>
        </row>
        <row r="8">
          <cell r="C8">
            <v>7.2782618541661393E-11</v>
          </cell>
        </row>
        <row r="9">
          <cell r="C9">
            <v>5.7811360302927223E-11</v>
          </cell>
        </row>
        <row r="10">
          <cell r="C10">
            <v>4.3921045078351663E-11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20_Fig3d-f"/>
    </sheetNames>
    <sheetDataSet>
      <sheetData sheetId="0">
        <row r="2">
          <cell r="C2">
            <v>2.1731123388581944E-8</v>
          </cell>
        </row>
        <row r="3">
          <cell r="C3">
            <v>2.8545119705340557E-9</v>
          </cell>
        </row>
        <row r="8">
          <cell r="C8">
            <v>1.5837937384898695E-8</v>
          </cell>
        </row>
        <row r="9">
          <cell r="C9">
            <v>7.5506445672191385E-9</v>
          </cell>
        </row>
        <row r="14">
          <cell r="C14">
            <v>8.1031307550644441E-9</v>
          </cell>
        </row>
        <row r="15">
          <cell r="C15">
            <v>7.1823204419889169E-9</v>
          </cell>
        </row>
      </sheetData>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C2">
            <v>6.7961165048543611E-10</v>
          </cell>
        </row>
        <row r="3">
          <cell r="C3">
            <v>2.3751733703189999E-10</v>
          </cell>
        </row>
        <row r="4">
          <cell r="C4">
            <v>2.5312066574202471E-10</v>
          </cell>
        </row>
        <row r="5">
          <cell r="C5">
            <v>2.0284327323162276E-10</v>
          </cell>
        </row>
      </sheetData>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2b"/>
    </sheetNames>
    <sheetDataSet>
      <sheetData sheetId="0">
        <row r="2">
          <cell r="C2">
            <v>1.5662650602409601E-9</v>
          </cell>
        </row>
        <row r="3">
          <cell r="C3">
            <v>2.6265060240963803E-9</v>
          </cell>
        </row>
        <row r="4">
          <cell r="C4">
            <v>3.1566265060240903E-9</v>
          </cell>
        </row>
        <row r="5">
          <cell r="C5">
            <v>3.0843373493975901E-9</v>
          </cell>
        </row>
        <row r="6">
          <cell r="C6">
            <v>1.8353413654618401E-9</v>
          </cell>
        </row>
        <row r="7">
          <cell r="C7">
            <v>2.0763052208835303E-9</v>
          </cell>
        </row>
        <row r="8">
          <cell r="C8">
            <v>4.2449799196787098E-9</v>
          </cell>
        </row>
        <row r="9">
          <cell r="C9">
            <v>2.0963855421686703E-9</v>
          </cell>
        </row>
        <row r="10">
          <cell r="C10">
            <v>1.65461847389558E-9</v>
          </cell>
        </row>
        <row r="11">
          <cell r="C11">
            <v>2.13654618473895E-9</v>
          </cell>
        </row>
        <row r="12">
          <cell r="C12">
            <v>5.7710843373493905E-9</v>
          </cell>
        </row>
        <row r="13">
          <cell r="C13">
            <v>4.4156626506024105E-9</v>
          </cell>
        </row>
        <row r="14">
          <cell r="C14">
            <v>2.3975903614457803E-9</v>
          </cell>
        </row>
        <row r="15">
          <cell r="C15">
            <v>2.15662650602409E-9</v>
          </cell>
        </row>
        <row r="16">
          <cell r="C16">
            <v>4.3052208835341299E-9</v>
          </cell>
        </row>
        <row r="17">
          <cell r="C17">
            <v>2.3072289156626502E-9</v>
          </cell>
        </row>
        <row r="18">
          <cell r="C18">
            <v>3.3413654618473802E-9</v>
          </cell>
        </row>
        <row r="19">
          <cell r="C19">
            <v>2.7590361445783101E-9</v>
          </cell>
        </row>
        <row r="20">
          <cell r="C20">
            <v>6.01204819277108E-9</v>
          </cell>
        </row>
        <row r="21">
          <cell r="C21">
            <v>3.9638554216867402E-9</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2a"/>
    </sheetNames>
    <sheetDataSet>
      <sheetData sheetId="0">
        <row r="2">
          <cell r="C2">
            <v>4.0015294312169307E-8</v>
          </cell>
        </row>
        <row r="3">
          <cell r="C3">
            <v>5.9635416666666603E-8</v>
          </cell>
        </row>
        <row r="4">
          <cell r="C4">
            <v>6.0152116402116298E-8</v>
          </cell>
        </row>
        <row r="5">
          <cell r="C5">
            <v>6.9969411375661301E-8</v>
          </cell>
        </row>
        <row r="6">
          <cell r="C6">
            <v>8.1336805555555506E-8</v>
          </cell>
        </row>
        <row r="7">
          <cell r="C7">
            <v>8.0303406084656011E-8</v>
          </cell>
        </row>
        <row r="8">
          <cell r="C8">
            <v>8.9604001322751307E-8</v>
          </cell>
        </row>
        <row r="9">
          <cell r="C9">
            <v>5.2401620370370304E-8</v>
          </cell>
        </row>
        <row r="10">
          <cell r="C10">
            <v>5.4468419312169307E-8</v>
          </cell>
        </row>
        <row r="11">
          <cell r="C11">
            <v>5.8602017195767102E-8</v>
          </cell>
        </row>
        <row r="12">
          <cell r="C12">
            <v>1.1828083664021102E-7</v>
          </cell>
        </row>
        <row r="13">
          <cell r="C13">
            <v>6.7385912698412696E-8</v>
          </cell>
        </row>
        <row r="14">
          <cell r="C14">
            <v>7.2036210317460304E-8</v>
          </cell>
        </row>
        <row r="15">
          <cell r="C15">
            <v>5.9118716931216909E-8</v>
          </cell>
        </row>
        <row r="16">
          <cell r="C16">
            <v>9.8904596560846509E-8</v>
          </cell>
        </row>
        <row r="17">
          <cell r="C17">
            <v>5.6535218253968204E-8</v>
          </cell>
        </row>
        <row r="18">
          <cell r="C18">
            <v>1.2422288359788301E-7</v>
          </cell>
        </row>
        <row r="19">
          <cell r="C19">
            <v>8.3661954365079304E-8</v>
          </cell>
        </row>
        <row r="20">
          <cell r="C20">
            <v>1.3817377645502601E-7</v>
          </cell>
        </row>
        <row r="21">
          <cell r="C21">
            <v>8.3920304232804204E-8</v>
          </cell>
        </row>
      </sheetData>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2c"/>
    </sheetNames>
    <sheetDataSet>
      <sheetData sheetId="0">
        <row r="2">
          <cell r="C2">
            <v>5.9195402298850605E-8</v>
          </cell>
        </row>
        <row r="3">
          <cell r="C3">
            <v>5.6321839080459697E-8</v>
          </cell>
        </row>
        <row r="4">
          <cell r="C4">
            <v>3.1034482758620601E-8</v>
          </cell>
        </row>
        <row r="5">
          <cell r="C5">
            <v>3.7931034482758601E-8</v>
          </cell>
        </row>
        <row r="6">
          <cell r="C6">
            <v>6.6666666666666602E-8</v>
          </cell>
        </row>
        <row r="7">
          <cell r="C7">
            <v>5.6321839080459697E-8</v>
          </cell>
        </row>
        <row r="8">
          <cell r="C8">
            <v>3.0459770114942506E-8</v>
          </cell>
        </row>
        <row r="9">
          <cell r="C9">
            <v>3.7068965517241402E-8</v>
          </cell>
        </row>
        <row r="10">
          <cell r="C10">
            <v>1.2557471264367802E-7</v>
          </cell>
        </row>
        <row r="11">
          <cell r="C11">
            <v>1.4770114942528703E-7</v>
          </cell>
        </row>
        <row r="12">
          <cell r="C12">
            <v>1.1925287356321802E-7</v>
          </cell>
        </row>
        <row r="13">
          <cell r="C13">
            <v>1.4482758620689601E-7</v>
          </cell>
        </row>
        <row r="14">
          <cell r="C14">
            <v>9.3103448275862002E-8</v>
          </cell>
        </row>
        <row r="15">
          <cell r="C15">
            <v>8.7356321839080398E-8</v>
          </cell>
        </row>
        <row r="16">
          <cell r="C16">
            <v>6.954022988505751E-8</v>
          </cell>
        </row>
        <row r="17">
          <cell r="C17">
            <v>4.9999999999999905E-8</v>
          </cell>
        </row>
        <row r="18">
          <cell r="C18">
            <v>1.8534482758620602E-7</v>
          </cell>
        </row>
        <row r="19">
          <cell r="C19">
            <v>1.6839080459770101E-7</v>
          </cell>
        </row>
        <row r="20">
          <cell r="C20">
            <v>9.6551724137931012E-8</v>
          </cell>
        </row>
        <row r="21">
          <cell r="C21">
            <v>9.4827586206896599E-8</v>
          </cell>
        </row>
      </sheetData>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1"/>
    </sheetNames>
    <sheetDataSet>
      <sheetData sheetId="0">
        <row r="2">
          <cell r="B2">
            <v>443.33333333333297</v>
          </cell>
        </row>
        <row r="3">
          <cell r="B3">
            <v>128.242122719734</v>
          </cell>
        </row>
        <row r="4">
          <cell r="B4">
            <v>244.328358208955</v>
          </cell>
        </row>
        <row r="5">
          <cell r="B5">
            <v>117.877280265339</v>
          </cell>
        </row>
        <row r="6">
          <cell r="B6">
            <v>229.81757877280199</v>
          </cell>
        </row>
        <row r="7">
          <cell r="B7">
            <v>78.490878938640094</v>
          </cell>
        </row>
        <row r="8">
          <cell r="B8">
            <v>47.396351575455903</v>
          </cell>
        </row>
        <row r="9">
          <cell r="B9">
            <v>53.615257048092801</v>
          </cell>
        </row>
        <row r="10">
          <cell r="B10">
            <v>544.90878938640105</v>
          </cell>
        </row>
        <row r="11">
          <cell r="B11">
            <v>422.603648424543</v>
          </cell>
        </row>
        <row r="12">
          <cell r="B12">
            <v>446.44278606965099</v>
          </cell>
        </row>
        <row r="13">
          <cell r="B13">
            <v>295.11608623548898</v>
          </cell>
        </row>
        <row r="14">
          <cell r="B14">
            <v>357.30514096185698</v>
          </cell>
        </row>
        <row r="15">
          <cell r="B15">
            <v>317.91873963515701</v>
          </cell>
        </row>
        <row r="16">
          <cell r="B16">
            <v>275.42288557213902</v>
          </cell>
        </row>
        <row r="17">
          <cell r="B17">
            <v>296.15257048092798</v>
          </cell>
        </row>
        <row r="18">
          <cell r="B18">
            <v>325.17412935323301</v>
          </cell>
        </row>
        <row r="19">
          <cell r="B19">
            <v>236.036484245439</v>
          </cell>
        </row>
        <row r="20">
          <cell r="B20">
            <v>198.72305140961799</v>
          </cell>
        </row>
        <row r="21">
          <cell r="B21">
            <v>180.066334991708</v>
          </cell>
        </row>
      </sheetData>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1b"/>
    </sheetNames>
    <sheetDataSet>
      <sheetData sheetId="0">
        <row r="2">
          <cell r="B2">
            <v>1.12788259958071</v>
          </cell>
        </row>
        <row r="3">
          <cell r="B3">
            <v>0.30188679245283001</v>
          </cell>
        </row>
        <row r="4">
          <cell r="B4">
            <v>0.46960167714884599</v>
          </cell>
        </row>
        <row r="5">
          <cell r="B5">
            <v>0.26834381551362602</v>
          </cell>
        </row>
        <row r="6">
          <cell r="B6">
            <v>0.94339622641509402</v>
          </cell>
        </row>
        <row r="7">
          <cell r="B7">
            <v>0.23899371069182401</v>
          </cell>
        </row>
        <row r="8">
          <cell r="B8">
            <v>0.10482180293501001</v>
          </cell>
        </row>
        <row r="9">
          <cell r="B9">
            <v>0.12997903563941299</v>
          </cell>
        </row>
        <row r="10">
          <cell r="B10">
            <v>1.7945492662473701</v>
          </cell>
        </row>
        <row r="11">
          <cell r="B11">
            <v>1.29979035639413</v>
          </cell>
        </row>
        <row r="12">
          <cell r="B12">
            <v>0.98113207547169801</v>
          </cell>
        </row>
        <row r="13">
          <cell r="B13">
            <v>0.82180293501048196</v>
          </cell>
        </row>
        <row r="14">
          <cell r="B14">
            <v>1.0817610062892999</v>
          </cell>
        </row>
        <row r="15">
          <cell r="B15">
            <v>0.88050314465408797</v>
          </cell>
        </row>
        <row r="16">
          <cell r="B16">
            <v>0.62893081761006198</v>
          </cell>
        </row>
        <row r="17">
          <cell r="B17">
            <v>0.70440251572326995</v>
          </cell>
        </row>
        <row r="18">
          <cell r="B18">
            <v>1.1572327044025099</v>
          </cell>
        </row>
        <row r="19">
          <cell r="B19">
            <v>0.75052410901467503</v>
          </cell>
        </row>
        <row r="20">
          <cell r="B20">
            <v>0.44863731656184402</v>
          </cell>
        </row>
        <row r="21">
          <cell r="B21">
            <v>0.40251572327044</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2002_Fig5c"/>
    </sheetNames>
    <sheetDataSet>
      <sheetData sheetId="0">
        <row r="2">
          <cell r="B2">
            <v>5.5241779497098502E-8</v>
          </cell>
        </row>
        <row r="3">
          <cell r="B3">
            <v>5.46228239845261E-8</v>
          </cell>
        </row>
        <row r="4">
          <cell r="B4">
            <v>2.5222437137330699E-8</v>
          </cell>
        </row>
        <row r="5">
          <cell r="B5">
            <v>2.39845261121856E-8</v>
          </cell>
        </row>
      </sheetData>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A2">
            <v>2.4329896907216402E-9</v>
          </cell>
        </row>
        <row r="3">
          <cell r="A3">
            <v>1.4845360824742201E-9</v>
          </cell>
        </row>
        <row r="4">
          <cell r="A4">
            <v>8.4123711340206105E-9</v>
          </cell>
        </row>
        <row r="5">
          <cell r="A5">
            <v>6.1855670103092703E-9</v>
          </cell>
        </row>
      </sheetData>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hsin&amp;Zwiazek_2002_Fig5"/>
    </sheetNames>
    <sheetDataSet>
      <sheetData sheetId="0">
        <row r="2">
          <cell r="C2">
            <v>5.5587628865979304E-9</v>
          </cell>
        </row>
        <row r="3">
          <cell r="C3">
            <v>4.5030927835051505E-9</v>
          </cell>
        </row>
        <row r="4">
          <cell r="C4">
            <v>2.6721649484536002E-9</v>
          </cell>
        </row>
        <row r="5">
          <cell r="C5">
            <v>1.0391752577319501E-9</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hsin&amp;Zwiazek_2002_Fig4"/>
    </sheetNames>
    <sheetDataSet>
      <sheetData sheetId="0">
        <row r="2">
          <cell r="C2">
            <v>6.2222222222222194E-7</v>
          </cell>
        </row>
        <row r="3">
          <cell r="C3">
            <v>7.4188034188034103E-7</v>
          </cell>
        </row>
        <row r="4">
          <cell r="C4">
            <v>9.3333333333333301E-7</v>
          </cell>
        </row>
        <row r="5">
          <cell r="C5">
            <v>1.32649572649572E-6</v>
          </cell>
        </row>
        <row r="6">
          <cell r="C6">
            <v>1.43247863247863E-6</v>
          </cell>
        </row>
        <row r="7">
          <cell r="C7">
            <v>2.0170940170940099E-7</v>
          </cell>
        </row>
        <row r="8">
          <cell r="C8">
            <v>2.32478632478632E-7</v>
          </cell>
        </row>
        <row r="9">
          <cell r="C9">
            <v>3.4871794871794797E-7</v>
          </cell>
        </row>
        <row r="10">
          <cell r="C10">
            <v>5.1282051282051199E-7</v>
          </cell>
        </row>
        <row r="11">
          <cell r="C11">
            <v>5.4017094017094E-7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B082-C322-4A78-B56F-A3AAFBFAC7A5}">
  <sheetPr filterMode="1"/>
  <dimension ref="A1:AK1129"/>
  <sheetViews>
    <sheetView tabSelected="1" zoomScale="85" zoomScaleNormal="85" workbookViewId="0">
      <pane ySplit="1" topLeftCell="A55" activePane="bottomLeft" state="frozen"/>
      <selection activeCell="L1" sqref="L1"/>
      <selection pane="bottomLeft" activeCell="K55" sqref="K55"/>
    </sheetView>
  </sheetViews>
  <sheetFormatPr defaultRowHeight="15" x14ac:dyDescent="0.25"/>
  <cols>
    <col min="1" max="1" width="52.42578125" bestFit="1" customWidth="1"/>
    <col min="2" max="2" width="29.85546875" customWidth="1"/>
    <col min="3" max="3" width="12.85546875" customWidth="1"/>
    <col min="4" max="4" width="17.85546875" customWidth="1"/>
    <col min="5" max="5" width="15.42578125" customWidth="1"/>
    <col min="6" max="7" width="16.140625" customWidth="1"/>
    <col min="8" max="9" width="17.85546875" customWidth="1"/>
    <col min="10" max="10" width="16.5703125" customWidth="1"/>
    <col min="11" max="11" width="43.5703125" customWidth="1"/>
    <col min="12" max="13" width="36.42578125" customWidth="1"/>
    <col min="14" max="14" width="41.140625" bestFit="1" customWidth="1"/>
    <col min="15" max="15" width="41.140625" customWidth="1"/>
    <col min="16" max="16" width="19.42578125" bestFit="1" customWidth="1"/>
    <col min="17" max="17" width="19.42578125" customWidth="1"/>
    <col min="18" max="19" width="36.42578125" customWidth="1"/>
    <col min="20" max="20" width="13.5703125" customWidth="1"/>
    <col min="21" max="21" width="21.85546875" customWidth="1"/>
    <col min="22" max="22" width="35.7109375" customWidth="1"/>
    <col min="23" max="23" width="12.5703125" customWidth="1"/>
    <col min="24" max="24" width="23.140625" customWidth="1"/>
    <col min="25" max="25" width="23.5703125" customWidth="1"/>
    <col min="26" max="27" width="31.42578125" customWidth="1"/>
    <col min="28" max="28" width="12.140625" style="1" customWidth="1"/>
    <col min="29" max="29" width="22.42578125" customWidth="1"/>
    <col min="30" max="30" width="22.85546875" customWidth="1"/>
    <col min="31" max="31" width="21.42578125" customWidth="1"/>
    <col min="32" max="32" width="11" customWidth="1"/>
    <col min="33" max="33" width="10.5703125" customWidth="1"/>
    <col min="34" max="34" width="19" style="2" customWidth="1"/>
    <col min="35" max="36" width="22" style="5" customWidth="1"/>
    <col min="37" max="37" width="22.42578125" customWidth="1"/>
  </cols>
  <sheetData>
    <row r="1" spans="1:37" x14ac:dyDescent="0.25">
      <c r="A1" t="s">
        <v>0</v>
      </c>
      <c r="B1" t="s">
        <v>1</v>
      </c>
      <c r="C1" t="s">
        <v>2</v>
      </c>
      <c r="D1" t="s">
        <v>3</v>
      </c>
      <c r="E1" t="s">
        <v>4</v>
      </c>
      <c r="F1" t="s">
        <v>802</v>
      </c>
      <c r="G1" t="s">
        <v>803</v>
      </c>
      <c r="H1" t="s">
        <v>800</v>
      </c>
      <c r="I1" t="s">
        <v>706</v>
      </c>
      <c r="J1" t="s">
        <v>5</v>
      </c>
      <c r="K1" t="s">
        <v>758</v>
      </c>
      <c r="L1" t="s">
        <v>739</v>
      </c>
      <c r="M1" t="s">
        <v>755</v>
      </c>
      <c r="N1" t="s">
        <v>740</v>
      </c>
      <c r="O1" t="s">
        <v>757</v>
      </c>
      <c r="P1" t="s">
        <v>741</v>
      </c>
      <c r="Q1" t="s">
        <v>759</v>
      </c>
      <c r="R1" t="s">
        <v>406</v>
      </c>
      <c r="S1" t="s">
        <v>735</v>
      </c>
      <c r="T1" t="s">
        <v>6</v>
      </c>
      <c r="U1" t="s">
        <v>611</v>
      </c>
      <c r="V1" s="1" t="s">
        <v>773</v>
      </c>
      <c r="W1" s="1" t="s">
        <v>805</v>
      </c>
      <c r="X1" s="1" t="s">
        <v>806</v>
      </c>
      <c r="Y1" s="1" t="s">
        <v>807</v>
      </c>
      <c r="Z1" s="1" t="s">
        <v>808</v>
      </c>
      <c r="AA1" s="1" t="s">
        <v>809</v>
      </c>
      <c r="AB1" s="1" t="s">
        <v>810</v>
      </c>
      <c r="AC1" t="s">
        <v>811</v>
      </c>
      <c r="AD1" t="s">
        <v>7</v>
      </c>
      <c r="AE1" t="s">
        <v>8</v>
      </c>
      <c r="AF1" s="2" t="s">
        <v>9</v>
      </c>
      <c r="AG1" s="2" t="s">
        <v>10</v>
      </c>
      <c r="AH1" s="2" t="s">
        <v>11</v>
      </c>
      <c r="AI1" s="5" t="s">
        <v>12</v>
      </c>
      <c r="AJ1" s="5" t="s">
        <v>375</v>
      </c>
      <c r="AK1" t="s">
        <v>734</v>
      </c>
    </row>
    <row r="2" spans="1:37" hidden="1" x14ac:dyDescent="0.25">
      <c r="A2" t="s">
        <v>604</v>
      </c>
      <c r="B2" t="s">
        <v>605</v>
      </c>
      <c r="C2" t="s">
        <v>606</v>
      </c>
      <c r="D2" t="s">
        <v>16</v>
      </c>
      <c r="E2" t="s">
        <v>17</v>
      </c>
      <c r="F2" t="s">
        <v>18</v>
      </c>
      <c r="G2" t="s">
        <v>18</v>
      </c>
      <c r="H2" t="s">
        <v>18</v>
      </c>
      <c r="I2" t="s">
        <v>704</v>
      </c>
      <c r="J2">
        <f t="shared" ref="J2:J9" si="0">28+3</f>
        <v>31</v>
      </c>
      <c r="K2" t="s">
        <v>624</v>
      </c>
      <c r="L2" t="s">
        <v>36</v>
      </c>
      <c r="M2" t="str">
        <f t="shared" ref="M2:M22" si="1">+IF(L2 = "Control", "Control", "Stress")</f>
        <v>Control</v>
      </c>
      <c r="N2" t="s">
        <v>607</v>
      </c>
      <c r="O2" t="s">
        <v>707</v>
      </c>
      <c r="R2" t="s">
        <v>408</v>
      </c>
      <c r="S2" t="s">
        <v>701</v>
      </c>
      <c r="T2" t="s">
        <v>695</v>
      </c>
      <c r="U2" t="s">
        <v>609</v>
      </c>
      <c r="V2" s="1" t="s">
        <v>733</v>
      </c>
      <c r="W2" s="1">
        <f>+AB2*AD2/10000</f>
        <v>4.2310698027313972E-11</v>
      </c>
      <c r="X2" s="1"/>
      <c r="Y2" s="1"/>
      <c r="Z2" s="1"/>
      <c r="AA2" s="1"/>
      <c r="AB2" s="1">
        <v>3.3899999999999999E-8</v>
      </c>
      <c r="AD2" s="3">
        <f>[1]Liu_etal_2022_Fig3b_e!B2</f>
        <v>12.481031866464299</v>
      </c>
      <c r="AE2" s="3">
        <f>[1]Liu_etal_2022_Fig3b_e!A2</f>
        <v>175.27114967462001</v>
      </c>
      <c r="AF2" s="2"/>
      <c r="AG2" s="2"/>
      <c r="AH2" s="3">
        <f t="shared" ref="AH2:AH9" si="2">+AD2/PI()/AE2*10</f>
        <v>0.22666798501897423</v>
      </c>
      <c r="AK2" t="s">
        <v>44</v>
      </c>
    </row>
    <row r="3" spans="1:37" hidden="1" x14ac:dyDescent="0.25">
      <c r="A3" t="s">
        <v>604</v>
      </c>
      <c r="B3" t="s">
        <v>605</v>
      </c>
      <c r="C3" t="s">
        <v>606</v>
      </c>
      <c r="D3" t="s">
        <v>16</v>
      </c>
      <c r="E3" t="s">
        <v>17</v>
      </c>
      <c r="F3" t="s">
        <v>18</v>
      </c>
      <c r="G3" t="s">
        <v>18</v>
      </c>
      <c r="H3" t="s">
        <v>18</v>
      </c>
      <c r="I3" t="s">
        <v>704</v>
      </c>
      <c r="J3">
        <f t="shared" si="0"/>
        <v>31</v>
      </c>
      <c r="K3" t="s">
        <v>624</v>
      </c>
      <c r="L3" t="s">
        <v>48</v>
      </c>
      <c r="M3" t="str">
        <f t="shared" si="1"/>
        <v>Stress</v>
      </c>
      <c r="N3" t="s">
        <v>607</v>
      </c>
      <c r="O3" t="s">
        <v>707</v>
      </c>
      <c r="R3" t="s">
        <v>408</v>
      </c>
      <c r="S3" t="s">
        <v>701</v>
      </c>
      <c r="T3" t="s">
        <v>695</v>
      </c>
      <c r="U3" t="s">
        <v>609</v>
      </c>
      <c r="V3" s="1" t="s">
        <v>733</v>
      </c>
      <c r="W3" s="1">
        <f t="shared" ref="W3:W9" si="3">+AB3*AD3/10000</f>
        <v>1.9850151745068226E-11</v>
      </c>
      <c r="X3" s="1"/>
      <c r="Y3" s="1"/>
      <c r="Z3" s="1"/>
      <c r="AA3" s="1"/>
      <c r="AB3" s="1">
        <v>1.7500000000000001E-8</v>
      </c>
      <c r="AD3" s="3">
        <f>[1]Liu_etal_2022_Fig3b_e!B3</f>
        <v>11.3429438543247</v>
      </c>
      <c r="AE3" s="3">
        <f>[1]Liu_etal_2022_Fig3b_e!A3</f>
        <v>127.114967462039</v>
      </c>
      <c r="AF3" s="2"/>
      <c r="AG3" s="2"/>
      <c r="AH3" s="3">
        <f t="shared" si="2"/>
        <v>0.2840398136700516</v>
      </c>
      <c r="AK3" t="s">
        <v>44</v>
      </c>
    </row>
    <row r="4" spans="1:37" hidden="1" x14ac:dyDescent="0.25">
      <c r="A4" t="s">
        <v>604</v>
      </c>
      <c r="B4" t="s">
        <v>605</v>
      </c>
      <c r="C4" t="s">
        <v>606</v>
      </c>
      <c r="D4" t="s">
        <v>16</v>
      </c>
      <c r="E4" t="s">
        <v>17</v>
      </c>
      <c r="F4" t="s">
        <v>18</v>
      </c>
      <c r="G4" t="s">
        <v>18</v>
      </c>
      <c r="H4" t="s">
        <v>18</v>
      </c>
      <c r="I4" t="s">
        <v>704</v>
      </c>
      <c r="J4">
        <f t="shared" si="0"/>
        <v>31</v>
      </c>
      <c r="K4" t="s">
        <v>624</v>
      </c>
      <c r="L4" t="s">
        <v>36</v>
      </c>
      <c r="M4" t="str">
        <f t="shared" si="1"/>
        <v>Control</v>
      </c>
      <c r="N4" t="s">
        <v>607</v>
      </c>
      <c r="O4" t="s">
        <v>707</v>
      </c>
      <c r="R4" t="s">
        <v>408</v>
      </c>
      <c r="S4" t="s">
        <v>701</v>
      </c>
      <c r="T4" t="s">
        <v>695</v>
      </c>
      <c r="U4" t="s">
        <v>610</v>
      </c>
      <c r="V4" s="1" t="s">
        <v>733</v>
      </c>
      <c r="W4" s="1">
        <f t="shared" si="3"/>
        <v>3.4344081942336754E-11</v>
      </c>
      <c r="X4" s="1"/>
      <c r="Y4" s="1"/>
      <c r="Z4" s="1"/>
      <c r="AA4" s="1"/>
      <c r="AB4" s="1">
        <v>1.89E-8</v>
      </c>
      <c r="AD4" s="3">
        <f>[1]Liu_etal_2022_Fig3b_e!B4</f>
        <v>18.171471927162301</v>
      </c>
      <c r="AE4" s="3">
        <f>[1]Liu_etal_2022_Fig3b_e!A4</f>
        <v>224.29501084598701</v>
      </c>
      <c r="AF4" s="2"/>
      <c r="AG4" s="2"/>
      <c r="AH4" s="3">
        <f t="shared" si="2"/>
        <v>0.25788175756163806</v>
      </c>
      <c r="AK4" t="s">
        <v>44</v>
      </c>
    </row>
    <row r="5" spans="1:37" hidden="1" x14ac:dyDescent="0.25">
      <c r="A5" t="s">
        <v>604</v>
      </c>
      <c r="B5" t="s">
        <v>605</v>
      </c>
      <c r="C5" t="s">
        <v>606</v>
      </c>
      <c r="D5" t="s">
        <v>16</v>
      </c>
      <c r="E5" t="s">
        <v>17</v>
      </c>
      <c r="F5" t="s">
        <v>18</v>
      </c>
      <c r="G5" t="s">
        <v>18</v>
      </c>
      <c r="H5" t="s">
        <v>18</v>
      </c>
      <c r="I5" t="s">
        <v>704</v>
      </c>
      <c r="J5">
        <f t="shared" si="0"/>
        <v>31</v>
      </c>
      <c r="K5" t="s">
        <v>624</v>
      </c>
      <c r="L5" t="s">
        <v>48</v>
      </c>
      <c r="M5" t="str">
        <f t="shared" si="1"/>
        <v>Stress</v>
      </c>
      <c r="N5" t="s">
        <v>607</v>
      </c>
      <c r="O5" t="s">
        <v>707</v>
      </c>
      <c r="R5" t="s">
        <v>408</v>
      </c>
      <c r="S5" t="s">
        <v>701</v>
      </c>
      <c r="T5" t="s">
        <v>695</v>
      </c>
      <c r="U5" t="s">
        <v>610</v>
      </c>
      <c r="V5" s="1" t="s">
        <v>733</v>
      </c>
      <c r="W5" s="1">
        <f t="shared" si="3"/>
        <v>4.2282245827010593E-11</v>
      </c>
      <c r="X5" s="1"/>
      <c r="Y5" s="1"/>
      <c r="Z5" s="1"/>
      <c r="AA5" s="1"/>
      <c r="AB5" s="1">
        <v>2.88E-8</v>
      </c>
      <c r="AD5" s="3">
        <f>[1]Liu_etal_2022_Fig3b_e!B5</f>
        <v>14.681335356600901</v>
      </c>
      <c r="AE5" s="3">
        <f>[1]Liu_etal_2022_Fig3b_e!A5</f>
        <v>169.63123644251601</v>
      </c>
      <c r="AF5" s="2"/>
      <c r="AG5" s="2"/>
      <c r="AH5" s="3">
        <f t="shared" si="2"/>
        <v>0.27549254986237959</v>
      </c>
      <c r="AK5" t="s">
        <v>44</v>
      </c>
    </row>
    <row r="6" spans="1:37" hidden="1" x14ac:dyDescent="0.25">
      <c r="A6" t="s">
        <v>604</v>
      </c>
      <c r="B6" t="s">
        <v>605</v>
      </c>
      <c r="C6" t="s">
        <v>606</v>
      </c>
      <c r="D6" t="s">
        <v>16</v>
      </c>
      <c r="E6" t="s">
        <v>17</v>
      </c>
      <c r="F6" t="s">
        <v>18</v>
      </c>
      <c r="G6" t="s">
        <v>18</v>
      </c>
      <c r="H6" t="s">
        <v>18</v>
      </c>
      <c r="I6" t="s">
        <v>704</v>
      </c>
      <c r="J6">
        <f t="shared" si="0"/>
        <v>31</v>
      </c>
      <c r="K6" t="s">
        <v>624</v>
      </c>
      <c r="L6" t="s">
        <v>36</v>
      </c>
      <c r="M6" t="str">
        <f t="shared" si="1"/>
        <v>Control</v>
      </c>
      <c r="N6" t="s">
        <v>608</v>
      </c>
      <c r="O6" t="s">
        <v>707</v>
      </c>
      <c r="R6" t="s">
        <v>408</v>
      </c>
      <c r="S6" t="s">
        <v>701</v>
      </c>
      <c r="T6" t="s">
        <v>695</v>
      </c>
      <c r="U6" t="s">
        <v>609</v>
      </c>
      <c r="V6" s="1" t="s">
        <v>733</v>
      </c>
      <c r="W6" s="1">
        <f t="shared" si="3"/>
        <v>1.947040971168431E-11</v>
      </c>
      <c r="X6" s="1"/>
      <c r="Y6" s="1"/>
      <c r="Z6" s="1"/>
      <c r="AA6" s="1"/>
      <c r="AB6" s="1">
        <v>1.5600000000000001E-8</v>
      </c>
      <c r="AD6" s="3">
        <f>AD2</f>
        <v>12.481031866464299</v>
      </c>
      <c r="AE6" s="3">
        <f>+AE2</f>
        <v>175.27114967462001</v>
      </c>
      <c r="AF6" s="2"/>
      <c r="AG6" s="2"/>
      <c r="AH6" s="3">
        <f t="shared" si="2"/>
        <v>0.22666798501897423</v>
      </c>
      <c r="AK6" t="s">
        <v>44</v>
      </c>
    </row>
    <row r="7" spans="1:37" hidden="1" x14ac:dyDescent="0.25">
      <c r="A7" t="s">
        <v>604</v>
      </c>
      <c r="B7" t="s">
        <v>605</v>
      </c>
      <c r="C7" t="s">
        <v>606</v>
      </c>
      <c r="D7" t="s">
        <v>16</v>
      </c>
      <c r="E7" t="s">
        <v>17</v>
      </c>
      <c r="F7" t="s">
        <v>18</v>
      </c>
      <c r="G7" t="s">
        <v>18</v>
      </c>
      <c r="H7" t="s">
        <v>18</v>
      </c>
      <c r="I7" t="s">
        <v>704</v>
      </c>
      <c r="J7">
        <f t="shared" si="0"/>
        <v>31</v>
      </c>
      <c r="K7" t="s">
        <v>624</v>
      </c>
      <c r="L7" t="s">
        <v>48</v>
      </c>
      <c r="M7" t="str">
        <f t="shared" si="1"/>
        <v>Stress</v>
      </c>
      <c r="N7" t="s">
        <v>608</v>
      </c>
      <c r="O7" t="s">
        <v>707</v>
      </c>
      <c r="R7" t="s">
        <v>408</v>
      </c>
      <c r="S7" t="s">
        <v>701</v>
      </c>
      <c r="T7" t="s">
        <v>695</v>
      </c>
      <c r="U7" t="s">
        <v>609</v>
      </c>
      <c r="V7" s="1" t="s">
        <v>733</v>
      </c>
      <c r="W7" s="1">
        <f t="shared" si="3"/>
        <v>1.0435508345978725E-11</v>
      </c>
      <c r="X7" s="1"/>
      <c r="Y7" s="1"/>
      <c r="Z7" s="1"/>
      <c r="AA7" s="1"/>
      <c r="AB7" s="1">
        <v>9.2000000000000013E-9</v>
      </c>
      <c r="AD7" s="3">
        <f>AD3</f>
        <v>11.3429438543247</v>
      </c>
      <c r="AE7" s="3">
        <f>+AE3</f>
        <v>127.114967462039</v>
      </c>
      <c r="AF7" s="2"/>
      <c r="AG7" s="2"/>
      <c r="AH7" s="3">
        <f t="shared" si="2"/>
        <v>0.2840398136700516</v>
      </c>
      <c r="AK7" t="s">
        <v>44</v>
      </c>
    </row>
    <row r="8" spans="1:37" hidden="1" x14ac:dyDescent="0.25">
      <c r="A8" t="s">
        <v>604</v>
      </c>
      <c r="B8" t="s">
        <v>605</v>
      </c>
      <c r="C8" t="s">
        <v>606</v>
      </c>
      <c r="D8" t="s">
        <v>16</v>
      </c>
      <c r="E8" t="s">
        <v>17</v>
      </c>
      <c r="F8" t="s">
        <v>18</v>
      </c>
      <c r="G8" t="s">
        <v>18</v>
      </c>
      <c r="H8" t="s">
        <v>18</v>
      </c>
      <c r="I8" t="s">
        <v>704</v>
      </c>
      <c r="J8">
        <f t="shared" si="0"/>
        <v>31</v>
      </c>
      <c r="K8" t="s">
        <v>624</v>
      </c>
      <c r="L8" t="s">
        <v>36</v>
      </c>
      <c r="M8" t="str">
        <f t="shared" si="1"/>
        <v>Control</v>
      </c>
      <c r="N8" t="s">
        <v>608</v>
      </c>
      <c r="O8" t="s">
        <v>707</v>
      </c>
      <c r="R8" t="s">
        <v>408</v>
      </c>
      <c r="S8" t="s">
        <v>701</v>
      </c>
      <c r="T8" t="s">
        <v>695</v>
      </c>
      <c r="U8" t="s">
        <v>610</v>
      </c>
      <c r="V8" s="1" t="s">
        <v>733</v>
      </c>
      <c r="W8" s="1">
        <f t="shared" si="3"/>
        <v>5.3787556904400405E-11</v>
      </c>
      <c r="X8" s="1"/>
      <c r="Y8" s="1"/>
      <c r="Z8" s="1"/>
      <c r="AA8" s="1"/>
      <c r="AB8" s="1">
        <v>2.96E-8</v>
      </c>
      <c r="AD8" s="3">
        <f>AD4</f>
        <v>18.171471927162301</v>
      </c>
      <c r="AE8" s="3">
        <f>+AE4</f>
        <v>224.29501084598701</v>
      </c>
      <c r="AF8" s="2"/>
      <c r="AG8" s="2"/>
      <c r="AH8" s="3">
        <f t="shared" si="2"/>
        <v>0.25788175756163806</v>
      </c>
      <c r="AK8" t="s">
        <v>44</v>
      </c>
    </row>
    <row r="9" spans="1:37" hidden="1" x14ac:dyDescent="0.25">
      <c r="A9" t="s">
        <v>604</v>
      </c>
      <c r="B9" t="s">
        <v>605</v>
      </c>
      <c r="C9" t="s">
        <v>606</v>
      </c>
      <c r="D9" t="s">
        <v>16</v>
      </c>
      <c r="E9" t="s">
        <v>17</v>
      </c>
      <c r="F9" t="s">
        <v>18</v>
      </c>
      <c r="G9" t="s">
        <v>18</v>
      </c>
      <c r="H9" t="s">
        <v>18</v>
      </c>
      <c r="I9" t="s">
        <v>704</v>
      </c>
      <c r="J9">
        <f t="shared" si="0"/>
        <v>31</v>
      </c>
      <c r="K9" t="s">
        <v>624</v>
      </c>
      <c r="L9" t="s">
        <v>48</v>
      </c>
      <c r="M9" t="str">
        <f t="shared" si="1"/>
        <v>Stress</v>
      </c>
      <c r="N9" t="s">
        <v>608</v>
      </c>
      <c r="O9" t="s">
        <v>707</v>
      </c>
      <c r="R9" t="s">
        <v>408</v>
      </c>
      <c r="S9" t="s">
        <v>701</v>
      </c>
      <c r="T9" t="s">
        <v>695</v>
      </c>
      <c r="U9" t="s">
        <v>610</v>
      </c>
      <c r="V9" s="1" t="s">
        <v>733</v>
      </c>
      <c r="W9" s="1">
        <f t="shared" si="3"/>
        <v>2.4958270106221529E-11</v>
      </c>
      <c r="X9" s="1"/>
      <c r="Y9" s="1"/>
      <c r="Z9" s="1"/>
      <c r="AA9" s="1"/>
      <c r="AB9" s="1">
        <v>1.7E-8</v>
      </c>
      <c r="AD9" s="3">
        <f>AD5</f>
        <v>14.681335356600901</v>
      </c>
      <c r="AE9" s="3">
        <f>+AE5</f>
        <v>169.63123644251601</v>
      </c>
      <c r="AF9" s="2"/>
      <c r="AG9" s="2"/>
      <c r="AH9" s="3">
        <f t="shared" si="2"/>
        <v>0.27549254986237959</v>
      </c>
      <c r="AK9" t="s">
        <v>44</v>
      </c>
    </row>
    <row r="10" spans="1:37" hidden="1" x14ac:dyDescent="0.25">
      <c r="A10" t="s">
        <v>764</v>
      </c>
      <c r="B10" t="s">
        <v>583</v>
      </c>
      <c r="C10" t="s">
        <v>573</v>
      </c>
      <c r="D10" t="s">
        <v>574</v>
      </c>
      <c r="E10" t="s">
        <v>17</v>
      </c>
      <c r="F10" t="s">
        <v>614</v>
      </c>
      <c r="G10" t="s">
        <v>614</v>
      </c>
      <c r="H10" t="s">
        <v>801</v>
      </c>
      <c r="I10" t="s">
        <v>804</v>
      </c>
      <c r="J10">
        <f>3*7</f>
        <v>21</v>
      </c>
      <c r="K10" t="s">
        <v>225</v>
      </c>
      <c r="L10" t="s">
        <v>36</v>
      </c>
      <c r="M10" t="str">
        <f t="shared" si="1"/>
        <v>Control</v>
      </c>
      <c r="R10" t="s">
        <v>408</v>
      </c>
      <c r="S10" t="s">
        <v>701</v>
      </c>
      <c r="T10" t="s">
        <v>695</v>
      </c>
      <c r="U10" t="s">
        <v>609</v>
      </c>
      <c r="V10" s="1"/>
      <c r="W10" s="1"/>
      <c r="X10" s="1"/>
      <c r="Y10" s="1"/>
      <c r="Z10" s="1"/>
      <c r="AA10" s="1">
        <f>[2]Sheet1!C2</f>
        <v>7.5807635829662227E-10</v>
      </c>
      <c r="AD10" s="3"/>
      <c r="AE10" s="3"/>
      <c r="AF10" s="2">
        <f>[3]Sheet1!B2</f>
        <v>1.0957264957264901</v>
      </c>
      <c r="AG10" s="2"/>
      <c r="AH10" s="3"/>
      <c r="AK10" t="s">
        <v>199</v>
      </c>
    </row>
    <row r="11" spans="1:37" hidden="1" x14ac:dyDescent="0.25">
      <c r="A11" t="s">
        <v>764</v>
      </c>
      <c r="B11" t="s">
        <v>583</v>
      </c>
      <c r="C11" t="s">
        <v>573</v>
      </c>
      <c r="D11" t="s">
        <v>574</v>
      </c>
      <c r="E11" t="s">
        <v>17</v>
      </c>
      <c r="F11" t="s">
        <v>614</v>
      </c>
      <c r="G11" t="s">
        <v>614</v>
      </c>
      <c r="H11" t="s">
        <v>801</v>
      </c>
      <c r="I11" t="s">
        <v>804</v>
      </c>
      <c r="J11">
        <f>3*7</f>
        <v>21</v>
      </c>
      <c r="K11" t="s">
        <v>225</v>
      </c>
      <c r="L11" t="s">
        <v>225</v>
      </c>
      <c r="M11" t="str">
        <f t="shared" si="1"/>
        <v>Stress</v>
      </c>
      <c r="R11" t="s">
        <v>408</v>
      </c>
      <c r="S11" t="s">
        <v>701</v>
      </c>
      <c r="T11" t="s">
        <v>695</v>
      </c>
      <c r="U11" t="s">
        <v>609</v>
      </c>
      <c r="V11" s="1"/>
      <c r="W11" s="1"/>
      <c r="X11" s="1"/>
      <c r="Y11" s="1"/>
      <c r="Z11" s="1"/>
      <c r="AA11" s="1">
        <f>[2]Sheet1!C3</f>
        <v>6.130690161527167E-10</v>
      </c>
      <c r="AD11" s="3"/>
      <c r="AE11" s="3"/>
      <c r="AF11" s="2">
        <f>[3]Sheet1!B3</f>
        <v>0.57435897435897398</v>
      </c>
      <c r="AG11" s="2"/>
      <c r="AH11" s="3"/>
      <c r="AK11" t="s">
        <v>199</v>
      </c>
    </row>
    <row r="12" spans="1:37" hidden="1" x14ac:dyDescent="0.25">
      <c r="A12" t="s">
        <v>603</v>
      </c>
      <c r="B12" t="s">
        <v>207</v>
      </c>
      <c r="C12" t="s">
        <v>208</v>
      </c>
      <c r="D12" t="s">
        <v>196</v>
      </c>
      <c r="E12" t="s">
        <v>17</v>
      </c>
      <c r="F12" t="s">
        <v>197</v>
      </c>
      <c r="G12" t="s">
        <v>612</v>
      </c>
      <c r="H12" t="s">
        <v>761</v>
      </c>
      <c r="I12" t="s">
        <v>705</v>
      </c>
      <c r="J12">
        <f>6*30</f>
        <v>180</v>
      </c>
      <c r="K12" t="s">
        <v>48</v>
      </c>
      <c r="L12" t="s">
        <v>36</v>
      </c>
      <c r="M12" t="str">
        <f t="shared" si="1"/>
        <v>Control</v>
      </c>
      <c r="R12" t="s">
        <v>408</v>
      </c>
      <c r="S12" t="s">
        <v>701</v>
      </c>
      <c r="T12" t="s">
        <v>695</v>
      </c>
      <c r="U12" t="s">
        <v>609</v>
      </c>
      <c r="V12" s="1" t="s">
        <v>733</v>
      </c>
      <c r="W12" s="1">
        <f>+Y12*AF12</f>
        <v>1.0402559999999999E-8</v>
      </c>
      <c r="X12" s="1"/>
      <c r="Y12" s="1">
        <f>1.204*18*0.000000001</f>
        <v>2.1672E-8</v>
      </c>
      <c r="Z12" s="1"/>
      <c r="AA12" s="1">
        <f>0.211*18*0.000000001</f>
        <v>3.7980000000000003E-9</v>
      </c>
      <c r="AF12" s="2">
        <v>0.48</v>
      </c>
      <c r="AG12" s="2"/>
      <c r="AJ12" s="5">
        <v>2.2999999999999998</v>
      </c>
      <c r="AK12" t="s">
        <v>355</v>
      </c>
    </row>
    <row r="13" spans="1:37" hidden="1" x14ac:dyDescent="0.25">
      <c r="A13" t="s">
        <v>603</v>
      </c>
      <c r="B13" t="s">
        <v>207</v>
      </c>
      <c r="C13" t="s">
        <v>208</v>
      </c>
      <c r="D13" t="s">
        <v>196</v>
      </c>
      <c r="E13" t="s">
        <v>17</v>
      </c>
      <c r="F13" t="s">
        <v>197</v>
      </c>
      <c r="G13" t="s">
        <v>612</v>
      </c>
      <c r="H13" t="s">
        <v>761</v>
      </c>
      <c r="I13" t="s">
        <v>705</v>
      </c>
      <c r="J13">
        <f>18*30</f>
        <v>540</v>
      </c>
      <c r="K13" t="s">
        <v>48</v>
      </c>
      <c r="L13" t="s">
        <v>36</v>
      </c>
      <c r="M13" t="str">
        <f t="shared" si="1"/>
        <v>Control</v>
      </c>
      <c r="R13" t="s">
        <v>408</v>
      </c>
      <c r="S13" t="s">
        <v>701</v>
      </c>
      <c r="T13" t="s">
        <v>695</v>
      </c>
      <c r="U13" t="s">
        <v>609</v>
      </c>
      <c r="V13" s="1" t="s">
        <v>733</v>
      </c>
      <c r="W13" s="1">
        <f t="shared" ref="W13:W14" si="4">+Y13*AF13</f>
        <v>2.2161600000000002E-8</v>
      </c>
      <c r="X13" s="1"/>
      <c r="Y13" s="1">
        <f>0.324*18*0.000000001</f>
        <v>5.8320000000000005E-9</v>
      </c>
      <c r="Z13" s="1"/>
      <c r="AA13" s="1">
        <f>0.055*18*0.000000001</f>
        <v>9.900000000000001E-10</v>
      </c>
      <c r="AF13" s="2">
        <v>3.8</v>
      </c>
      <c r="AG13" s="2"/>
      <c r="AJ13" s="5">
        <v>22.4</v>
      </c>
      <c r="AK13" t="s">
        <v>355</v>
      </c>
    </row>
    <row r="14" spans="1:37" hidden="1" x14ac:dyDescent="0.25">
      <c r="A14" t="s">
        <v>603</v>
      </c>
      <c r="B14" t="s">
        <v>207</v>
      </c>
      <c r="C14" t="s">
        <v>208</v>
      </c>
      <c r="D14" t="s">
        <v>196</v>
      </c>
      <c r="E14" t="s">
        <v>17</v>
      </c>
      <c r="F14" t="s">
        <v>197</v>
      </c>
      <c r="G14" t="s">
        <v>612</v>
      </c>
      <c r="H14" t="s">
        <v>761</v>
      </c>
      <c r="I14" t="s">
        <v>705</v>
      </c>
      <c r="J14">
        <f>18*30</f>
        <v>540</v>
      </c>
      <c r="K14" t="s">
        <v>48</v>
      </c>
      <c r="L14" t="s">
        <v>48</v>
      </c>
      <c r="M14" t="str">
        <f t="shared" si="1"/>
        <v>Stress</v>
      </c>
      <c r="R14" t="s">
        <v>408</v>
      </c>
      <c r="S14" t="s">
        <v>701</v>
      </c>
      <c r="T14" t="s">
        <v>695</v>
      </c>
      <c r="U14" t="s">
        <v>609</v>
      </c>
      <c r="V14" s="1" t="s">
        <v>733</v>
      </c>
      <c r="W14" s="1">
        <f t="shared" si="4"/>
        <v>4.6539360000000001E-9</v>
      </c>
      <c r="X14" s="1"/>
      <c r="Y14" s="1">
        <f>0.42*Y13</f>
        <v>2.4494400000000002E-9</v>
      </c>
      <c r="Z14" s="1"/>
      <c r="AA14" s="1"/>
      <c r="AF14" s="2">
        <v>1.9</v>
      </c>
      <c r="AG14" s="2"/>
      <c r="AJ14" s="5">
        <v>8.4</v>
      </c>
      <c r="AK14" t="s">
        <v>355</v>
      </c>
    </row>
    <row r="15" spans="1:37" hidden="1" x14ac:dyDescent="0.25">
      <c r="A15" t="s">
        <v>224</v>
      </c>
      <c r="B15" t="s">
        <v>125</v>
      </c>
      <c r="C15" t="s">
        <v>67</v>
      </c>
      <c r="D15" t="s">
        <v>68</v>
      </c>
      <c r="E15" t="s">
        <v>17</v>
      </c>
      <c r="F15" t="s">
        <v>126</v>
      </c>
      <c r="G15" t="s">
        <v>616</v>
      </c>
      <c r="H15" t="s">
        <v>760</v>
      </c>
      <c r="I15" t="s">
        <v>705</v>
      </c>
      <c r="J15">
        <f>(5+1)*7+7</f>
        <v>49</v>
      </c>
      <c r="K15" t="s">
        <v>420</v>
      </c>
      <c r="L15" t="s">
        <v>36</v>
      </c>
      <c r="M15" t="str">
        <f t="shared" si="1"/>
        <v>Control</v>
      </c>
      <c r="N15" t="s">
        <v>36</v>
      </c>
      <c r="O15" t="str">
        <f>+IF(N15="Control","Control","Stress")</f>
        <v>Control</v>
      </c>
      <c r="R15" t="s">
        <v>408</v>
      </c>
      <c r="S15" t="s">
        <v>701</v>
      </c>
      <c r="T15" t="s">
        <v>695</v>
      </c>
      <c r="U15" t="s">
        <v>609</v>
      </c>
      <c r="V15" s="1" t="s">
        <v>774</v>
      </c>
      <c r="W15" s="1">
        <f>[4]Tan_etal_2021_Fig2!C2</f>
        <v>1.2213E-8</v>
      </c>
      <c r="AC15" s="2"/>
      <c r="AD15" s="2"/>
      <c r="AE15" s="2"/>
      <c r="AK15" t="s">
        <v>44</v>
      </c>
    </row>
    <row r="16" spans="1:37" hidden="1" x14ac:dyDescent="0.25">
      <c r="A16" t="s">
        <v>224</v>
      </c>
      <c r="B16" t="s">
        <v>125</v>
      </c>
      <c r="C16" t="s">
        <v>67</v>
      </c>
      <c r="D16" t="s">
        <v>68</v>
      </c>
      <c r="E16" t="s">
        <v>17</v>
      </c>
      <c r="F16" t="s">
        <v>126</v>
      </c>
      <c r="G16" t="s">
        <v>616</v>
      </c>
      <c r="H16" t="s">
        <v>760</v>
      </c>
      <c r="I16" t="s">
        <v>705</v>
      </c>
      <c r="J16">
        <f>(5+1)*7+7</f>
        <v>49</v>
      </c>
      <c r="K16" t="s">
        <v>420</v>
      </c>
      <c r="L16" t="s">
        <v>36</v>
      </c>
      <c r="M16" t="str">
        <f t="shared" si="1"/>
        <v>Control</v>
      </c>
      <c r="N16" t="s">
        <v>622</v>
      </c>
      <c r="O16" t="str">
        <f>+IF(N16="Control","Control","Stress")</f>
        <v>Stress</v>
      </c>
      <c r="R16" t="s">
        <v>408</v>
      </c>
      <c r="S16" t="s">
        <v>701</v>
      </c>
      <c r="T16" t="s">
        <v>695</v>
      </c>
      <c r="U16" t="s">
        <v>609</v>
      </c>
      <c r="V16" s="1" t="s">
        <v>774</v>
      </c>
      <c r="W16" s="1">
        <f>[4]Tan_etal_2021_Fig2!C3</f>
        <v>1.1709300000000001E-8</v>
      </c>
      <c r="AC16" s="2"/>
      <c r="AD16" s="2"/>
      <c r="AE16" s="2"/>
      <c r="AK16" t="s">
        <v>44</v>
      </c>
    </row>
    <row r="17" spans="1:37" hidden="1" x14ac:dyDescent="0.25">
      <c r="A17" t="s">
        <v>224</v>
      </c>
      <c r="B17" t="s">
        <v>125</v>
      </c>
      <c r="C17" t="s">
        <v>67</v>
      </c>
      <c r="D17" t="s">
        <v>68</v>
      </c>
      <c r="E17" t="s">
        <v>17</v>
      </c>
      <c r="F17" t="s">
        <v>126</v>
      </c>
      <c r="G17" t="s">
        <v>616</v>
      </c>
      <c r="H17" t="s">
        <v>760</v>
      </c>
      <c r="I17" t="s">
        <v>705</v>
      </c>
      <c r="J17">
        <f>(5+1)*7+7</f>
        <v>49</v>
      </c>
      <c r="K17" t="s">
        <v>420</v>
      </c>
      <c r="L17" t="s">
        <v>225</v>
      </c>
      <c r="M17" t="str">
        <f t="shared" si="1"/>
        <v>Stress</v>
      </c>
      <c r="N17" t="s">
        <v>36</v>
      </c>
      <c r="O17" t="str">
        <f>+IF(N17="Control","Control","Stress")</f>
        <v>Control</v>
      </c>
      <c r="R17" t="s">
        <v>408</v>
      </c>
      <c r="S17" t="s">
        <v>701</v>
      </c>
      <c r="T17" t="s">
        <v>695</v>
      </c>
      <c r="U17" t="s">
        <v>609</v>
      </c>
      <c r="V17" s="1" t="s">
        <v>774</v>
      </c>
      <c r="W17" s="1">
        <f>[4]Tan_etal_2021_Fig2!C4</f>
        <v>6.3316699999999999E-9</v>
      </c>
      <c r="AC17" s="2"/>
      <c r="AD17" s="2"/>
      <c r="AE17" s="2"/>
      <c r="AK17" t="s">
        <v>44</v>
      </c>
    </row>
    <row r="18" spans="1:37" hidden="1" x14ac:dyDescent="0.25">
      <c r="A18" t="s">
        <v>224</v>
      </c>
      <c r="B18" t="s">
        <v>125</v>
      </c>
      <c r="C18" t="s">
        <v>67</v>
      </c>
      <c r="D18" t="s">
        <v>68</v>
      </c>
      <c r="E18" t="s">
        <v>17</v>
      </c>
      <c r="F18" t="s">
        <v>126</v>
      </c>
      <c r="G18" t="s">
        <v>616</v>
      </c>
      <c r="H18" t="s">
        <v>760</v>
      </c>
      <c r="I18" t="s">
        <v>705</v>
      </c>
      <c r="J18">
        <f>(5+1)*7+7</f>
        <v>49</v>
      </c>
      <c r="K18" t="s">
        <v>420</v>
      </c>
      <c r="L18" t="s">
        <v>225</v>
      </c>
      <c r="M18" t="str">
        <f t="shared" si="1"/>
        <v>Stress</v>
      </c>
      <c r="N18" t="s">
        <v>622</v>
      </c>
      <c r="O18" t="str">
        <f>+IF(N18="Control","Control","Stress")</f>
        <v>Stress</v>
      </c>
      <c r="R18" t="s">
        <v>408</v>
      </c>
      <c r="S18" t="s">
        <v>701</v>
      </c>
      <c r="T18" t="s">
        <v>695</v>
      </c>
      <c r="U18" t="s">
        <v>609</v>
      </c>
      <c r="V18" s="1" t="s">
        <v>774</v>
      </c>
      <c r="W18" s="1">
        <f>[4]Tan_etal_2021_Fig2!C5</f>
        <v>9.0148100000000006E-9</v>
      </c>
      <c r="AC18" s="2"/>
      <c r="AD18" s="2"/>
      <c r="AE18" s="2"/>
      <c r="AK18" t="s">
        <v>44</v>
      </c>
    </row>
    <row r="19" spans="1:37" hidden="1" x14ac:dyDescent="0.25">
      <c r="A19" t="s">
        <v>13</v>
      </c>
      <c r="B19" t="s">
        <v>14</v>
      </c>
      <c r="C19" t="s">
        <v>15</v>
      </c>
      <c r="D19" t="s">
        <v>16</v>
      </c>
      <c r="E19" t="s">
        <v>17</v>
      </c>
      <c r="F19" t="s">
        <v>18</v>
      </c>
      <c r="G19" t="s">
        <v>18</v>
      </c>
      <c r="H19" t="s">
        <v>18</v>
      </c>
      <c r="I19" t="s">
        <v>704</v>
      </c>
      <c r="J19">
        <f>8+2</f>
        <v>10</v>
      </c>
      <c r="K19" t="s">
        <v>623</v>
      </c>
      <c r="L19" t="s">
        <v>36</v>
      </c>
      <c r="M19" t="str">
        <f t="shared" si="1"/>
        <v>Control</v>
      </c>
      <c r="N19" t="s">
        <v>411</v>
      </c>
      <c r="O19" t="s">
        <v>707</v>
      </c>
      <c r="R19" t="s">
        <v>408</v>
      </c>
      <c r="S19" t="s">
        <v>701</v>
      </c>
      <c r="T19" t="s">
        <v>695</v>
      </c>
      <c r="U19" t="s">
        <v>609</v>
      </c>
      <c r="V19" s="1" t="s">
        <v>774</v>
      </c>
      <c r="W19" s="1">
        <f>[5]Kodama_etal_2021_Fig3a!B2</f>
        <v>3.8473282442748001E-10</v>
      </c>
      <c r="X19" s="1"/>
      <c r="Y19" s="1"/>
      <c r="Z19" s="1"/>
      <c r="AA19" s="1"/>
      <c r="AB19" s="1">
        <f>[6]Kodama_etal_2021_Fig3c!B2</f>
        <v>1.4282115869017599E-7</v>
      </c>
      <c r="AC19" s="1"/>
      <c r="AD19" s="3">
        <f>[7]Kodama_etal_2021_Fig3b!C2</f>
        <v>28.233830845771102</v>
      </c>
      <c r="AE19" s="2"/>
      <c r="AF19" s="2"/>
      <c r="AG19" s="2"/>
      <c r="AK19" t="s">
        <v>199</v>
      </c>
    </row>
    <row r="20" spans="1:37" hidden="1" x14ac:dyDescent="0.25">
      <c r="A20" t="s">
        <v>13</v>
      </c>
      <c r="B20" t="s">
        <v>14</v>
      </c>
      <c r="C20" t="s">
        <v>15</v>
      </c>
      <c r="D20" t="s">
        <v>16</v>
      </c>
      <c r="E20" t="s">
        <v>17</v>
      </c>
      <c r="F20" t="s">
        <v>18</v>
      </c>
      <c r="G20" t="s">
        <v>18</v>
      </c>
      <c r="H20" t="s">
        <v>18</v>
      </c>
      <c r="I20" t="s">
        <v>704</v>
      </c>
      <c r="J20">
        <f>10+2</f>
        <v>12</v>
      </c>
      <c r="K20" t="s">
        <v>623</v>
      </c>
      <c r="L20" t="s">
        <v>36</v>
      </c>
      <c r="M20" t="str">
        <f t="shared" si="1"/>
        <v>Control</v>
      </c>
      <c r="N20" t="s">
        <v>412</v>
      </c>
      <c r="O20" t="s">
        <v>707</v>
      </c>
      <c r="R20" t="s">
        <v>408</v>
      </c>
      <c r="S20" t="s">
        <v>701</v>
      </c>
      <c r="T20" t="s">
        <v>695</v>
      </c>
      <c r="U20" t="s">
        <v>609</v>
      </c>
      <c r="V20" s="1" t="s">
        <v>774</v>
      </c>
      <c r="W20" s="1">
        <f>[5]Kodama_etal_2021_Fig3a!B3</f>
        <v>4.5801526717557201E-10</v>
      </c>
      <c r="X20" s="1"/>
      <c r="Y20" s="1"/>
      <c r="Z20" s="1"/>
      <c r="AA20" s="1"/>
      <c r="AB20" s="1">
        <f>[6]Kodama_etal_2021_Fig3c!B3</f>
        <v>1.63979848866498E-7</v>
      </c>
      <c r="AC20" s="1"/>
      <c r="AD20" s="3">
        <f>[7]Kodama_etal_2021_Fig3b!C3</f>
        <v>29.353233830845699</v>
      </c>
      <c r="AF20" s="2"/>
      <c r="AG20" s="2"/>
      <c r="AK20" t="s">
        <v>199</v>
      </c>
    </row>
    <row r="21" spans="1:37" hidden="1" x14ac:dyDescent="0.25">
      <c r="A21" t="s">
        <v>13</v>
      </c>
      <c r="B21" t="s">
        <v>14</v>
      </c>
      <c r="C21" t="s">
        <v>15</v>
      </c>
      <c r="D21" t="s">
        <v>16</v>
      </c>
      <c r="E21" t="s">
        <v>17</v>
      </c>
      <c r="F21" t="s">
        <v>18</v>
      </c>
      <c r="G21" t="s">
        <v>18</v>
      </c>
      <c r="H21" t="s">
        <v>18</v>
      </c>
      <c r="I21" t="s">
        <v>704</v>
      </c>
      <c r="J21">
        <f>8+2</f>
        <v>10</v>
      </c>
      <c r="K21" t="s">
        <v>623</v>
      </c>
      <c r="L21" t="s">
        <v>81</v>
      </c>
      <c r="M21" t="str">
        <f t="shared" si="1"/>
        <v>Stress</v>
      </c>
      <c r="N21" t="s">
        <v>411</v>
      </c>
      <c r="O21" t="s">
        <v>707</v>
      </c>
      <c r="R21" t="s">
        <v>408</v>
      </c>
      <c r="S21" t="s">
        <v>701</v>
      </c>
      <c r="T21" t="s">
        <v>695</v>
      </c>
      <c r="U21" t="s">
        <v>609</v>
      </c>
      <c r="V21" s="1" t="s">
        <v>774</v>
      </c>
      <c r="W21" s="1">
        <f>[5]Kodama_etal_2021_Fig3a!B4</f>
        <v>2.7277353689567401E-10</v>
      </c>
      <c r="X21" s="1"/>
      <c r="Y21" s="1"/>
      <c r="Z21" s="1"/>
      <c r="AA21" s="1"/>
      <c r="AB21" s="1">
        <f>[6]Kodama_etal_2021_Fig3c!B4</f>
        <v>9.6725440806045005E-8</v>
      </c>
      <c r="AC21" s="1"/>
      <c r="AD21" s="3">
        <f>[7]Kodama_etal_2021_Fig3b!C4</f>
        <v>28.482587064676601</v>
      </c>
      <c r="AF21" s="2"/>
      <c r="AG21" s="2"/>
      <c r="AK21" t="s">
        <v>199</v>
      </c>
    </row>
    <row r="22" spans="1:37" hidden="1" x14ac:dyDescent="0.25">
      <c r="A22" t="s">
        <v>13</v>
      </c>
      <c r="B22" t="s">
        <v>14</v>
      </c>
      <c r="C22" t="s">
        <v>15</v>
      </c>
      <c r="D22" t="s">
        <v>16</v>
      </c>
      <c r="E22" t="s">
        <v>17</v>
      </c>
      <c r="F22" t="s">
        <v>18</v>
      </c>
      <c r="G22" t="s">
        <v>18</v>
      </c>
      <c r="H22" t="s">
        <v>18</v>
      </c>
      <c r="I22" t="s">
        <v>704</v>
      </c>
      <c r="J22">
        <f>10+2</f>
        <v>12</v>
      </c>
      <c r="K22" t="s">
        <v>623</v>
      </c>
      <c r="L22" t="s">
        <v>81</v>
      </c>
      <c r="M22" t="str">
        <f t="shared" si="1"/>
        <v>Stress</v>
      </c>
      <c r="N22" t="s">
        <v>412</v>
      </c>
      <c r="O22" t="s">
        <v>707</v>
      </c>
      <c r="R22" t="s">
        <v>408</v>
      </c>
      <c r="S22" t="s">
        <v>701</v>
      </c>
      <c r="T22" t="s">
        <v>695</v>
      </c>
      <c r="U22" t="s">
        <v>609</v>
      </c>
      <c r="V22" s="1" t="s">
        <v>774</v>
      </c>
      <c r="W22" s="1">
        <f>[5]Kodama_etal_2021_Fig3a!B5</f>
        <v>4.3562340966921102E-10</v>
      </c>
      <c r="X22" s="1"/>
      <c r="Y22" s="1"/>
      <c r="Z22" s="1"/>
      <c r="AA22" s="1"/>
      <c r="AB22" s="1">
        <f>[6]Kodama_etal_2021_Fig3c!B5</f>
        <v>1.63979848866498E-7</v>
      </c>
      <c r="AC22" s="1"/>
      <c r="AD22" s="3">
        <f>[7]Kodama_etal_2021_Fig3b!C5</f>
        <v>26.990049751243703</v>
      </c>
      <c r="AF22" s="2"/>
      <c r="AG22" s="2"/>
      <c r="AK22" t="s">
        <v>199</v>
      </c>
    </row>
    <row r="23" spans="1:37" hidden="1" x14ac:dyDescent="0.25">
      <c r="A23" t="s">
        <v>600</v>
      </c>
      <c r="B23" t="s">
        <v>601</v>
      </c>
      <c r="C23" t="s">
        <v>67</v>
      </c>
      <c r="D23" t="s">
        <v>68</v>
      </c>
      <c r="E23" t="s">
        <v>17</v>
      </c>
      <c r="F23" t="s">
        <v>126</v>
      </c>
      <c r="G23" t="s">
        <v>616</v>
      </c>
      <c r="H23" t="s">
        <v>760</v>
      </c>
      <c r="I23" t="s">
        <v>705</v>
      </c>
      <c r="J23">
        <f>5*7</f>
        <v>35</v>
      </c>
      <c r="K23" t="s">
        <v>756</v>
      </c>
      <c r="L23" t="s">
        <v>756</v>
      </c>
      <c r="M23" t="s">
        <v>756</v>
      </c>
      <c r="R23" t="s">
        <v>408</v>
      </c>
      <c r="S23" t="s">
        <v>701</v>
      </c>
      <c r="T23" t="s">
        <v>695</v>
      </c>
      <c r="U23" t="s">
        <v>609</v>
      </c>
      <c r="V23" s="1"/>
      <c r="W23" s="1"/>
      <c r="X23" s="1"/>
      <c r="Y23" s="1"/>
      <c r="Z23" s="1"/>
      <c r="AA23" s="1"/>
      <c r="AB23" s="1">
        <v>1.4999999999999999E-7</v>
      </c>
      <c r="AC23" s="1"/>
      <c r="AD23" s="3"/>
      <c r="AF23" s="2"/>
      <c r="AG23" s="2"/>
      <c r="AK23" t="s">
        <v>199</v>
      </c>
    </row>
    <row r="24" spans="1:37" hidden="1" x14ac:dyDescent="0.25">
      <c r="A24" t="s">
        <v>600</v>
      </c>
      <c r="B24" t="s">
        <v>601</v>
      </c>
      <c r="C24" t="s">
        <v>67</v>
      </c>
      <c r="D24" t="s">
        <v>68</v>
      </c>
      <c r="E24" t="s">
        <v>17</v>
      </c>
      <c r="F24" t="s">
        <v>126</v>
      </c>
      <c r="G24" t="s">
        <v>616</v>
      </c>
      <c r="H24" t="s">
        <v>760</v>
      </c>
      <c r="I24" t="s">
        <v>705</v>
      </c>
      <c r="J24">
        <f>5*7</f>
        <v>35</v>
      </c>
      <c r="K24" t="s">
        <v>756</v>
      </c>
      <c r="L24" t="s">
        <v>756</v>
      </c>
      <c r="M24" t="s">
        <v>756</v>
      </c>
      <c r="R24" t="s">
        <v>408</v>
      </c>
      <c r="S24" t="s">
        <v>701</v>
      </c>
      <c r="T24" t="s">
        <v>695</v>
      </c>
      <c r="U24" t="s">
        <v>610</v>
      </c>
      <c r="V24" s="1"/>
      <c r="W24" s="1"/>
      <c r="X24" s="1"/>
      <c r="Y24" s="1"/>
      <c r="Z24" s="1"/>
      <c r="AA24" s="1"/>
      <c r="AB24" s="1">
        <v>1.4E-8</v>
      </c>
      <c r="AC24" s="1"/>
      <c r="AD24" s="3"/>
      <c r="AF24" s="2"/>
      <c r="AG24" s="2"/>
      <c r="AK24" t="s">
        <v>199</v>
      </c>
    </row>
    <row r="25" spans="1:37" hidden="1" x14ac:dyDescent="0.25">
      <c r="A25" t="s">
        <v>584</v>
      </c>
      <c r="B25" t="s">
        <v>53</v>
      </c>
      <c r="C25" t="s">
        <v>54</v>
      </c>
      <c r="D25" t="s">
        <v>16</v>
      </c>
      <c r="E25" t="s">
        <v>17</v>
      </c>
      <c r="F25" t="s">
        <v>18</v>
      </c>
      <c r="G25" t="s">
        <v>18</v>
      </c>
      <c r="H25" t="s">
        <v>18</v>
      </c>
      <c r="I25" t="s">
        <v>704</v>
      </c>
      <c r="J25">
        <v>94</v>
      </c>
      <c r="K25" t="s">
        <v>624</v>
      </c>
      <c r="L25" t="s">
        <v>36</v>
      </c>
      <c r="M25" t="str">
        <f t="shared" ref="M25:M56" si="5">+IF(L25 = "Control", "Control", "Stress")</f>
        <v>Control</v>
      </c>
      <c r="N25" t="s">
        <v>585</v>
      </c>
      <c r="O25" t="s">
        <v>707</v>
      </c>
      <c r="R25" t="s">
        <v>408</v>
      </c>
      <c r="S25" t="s">
        <v>701</v>
      </c>
      <c r="T25" t="s">
        <v>695</v>
      </c>
      <c r="U25" t="s">
        <v>609</v>
      </c>
      <c r="V25" s="1" t="s">
        <v>774</v>
      </c>
      <c r="W25" s="1">
        <v>1.112E-8</v>
      </c>
      <c r="X25" s="1"/>
      <c r="Y25" s="1"/>
      <c r="Z25" s="1"/>
      <c r="AA25" s="1"/>
      <c r="AB25" s="1">
        <v>1E-8</v>
      </c>
      <c r="AC25" s="1"/>
      <c r="AD25" s="9"/>
      <c r="AF25" s="2"/>
      <c r="AG25" s="2"/>
      <c r="AK25" t="s">
        <v>199</v>
      </c>
    </row>
    <row r="26" spans="1:37" hidden="1" x14ac:dyDescent="0.25">
      <c r="A26" t="s">
        <v>584</v>
      </c>
      <c r="B26" t="s">
        <v>53</v>
      </c>
      <c r="C26" t="s">
        <v>54</v>
      </c>
      <c r="D26" t="s">
        <v>16</v>
      </c>
      <c r="E26" t="s">
        <v>17</v>
      </c>
      <c r="F26" t="s">
        <v>18</v>
      </c>
      <c r="G26" t="s">
        <v>18</v>
      </c>
      <c r="H26" t="s">
        <v>18</v>
      </c>
      <c r="I26" t="s">
        <v>704</v>
      </c>
      <c r="J26">
        <v>94</v>
      </c>
      <c r="K26" t="s">
        <v>624</v>
      </c>
      <c r="L26" t="s">
        <v>48</v>
      </c>
      <c r="M26" t="str">
        <f t="shared" si="5"/>
        <v>Stress</v>
      </c>
      <c r="N26" t="s">
        <v>585</v>
      </c>
      <c r="O26" t="s">
        <v>707</v>
      </c>
      <c r="R26" t="s">
        <v>408</v>
      </c>
      <c r="S26" t="s">
        <v>701</v>
      </c>
      <c r="T26" t="s">
        <v>695</v>
      </c>
      <c r="U26" t="s">
        <v>609</v>
      </c>
      <c r="V26" s="1" t="s">
        <v>774</v>
      </c>
      <c r="W26" s="1">
        <v>5.2700000000000002E-9</v>
      </c>
      <c r="X26" s="1"/>
      <c r="Y26" s="1"/>
      <c r="Z26" s="1"/>
      <c r="AA26" s="1"/>
      <c r="AB26" s="1">
        <v>6.3200000000000005E-9</v>
      </c>
      <c r="AC26" s="1"/>
      <c r="AD26" s="9"/>
      <c r="AF26" s="2"/>
      <c r="AG26" s="2"/>
      <c r="AK26" t="s">
        <v>199</v>
      </c>
    </row>
    <row r="27" spans="1:37" hidden="1" x14ac:dyDescent="0.25">
      <c r="A27" t="s">
        <v>584</v>
      </c>
      <c r="B27" t="s">
        <v>53</v>
      </c>
      <c r="C27" t="s">
        <v>54</v>
      </c>
      <c r="D27" t="s">
        <v>16</v>
      </c>
      <c r="E27" t="s">
        <v>17</v>
      </c>
      <c r="F27" t="s">
        <v>18</v>
      </c>
      <c r="G27" t="s">
        <v>18</v>
      </c>
      <c r="H27" t="s">
        <v>18</v>
      </c>
      <c r="I27" t="s">
        <v>704</v>
      </c>
      <c r="J27">
        <v>98</v>
      </c>
      <c r="K27" t="s">
        <v>624</v>
      </c>
      <c r="L27" t="s">
        <v>36</v>
      </c>
      <c r="M27" t="str">
        <f t="shared" si="5"/>
        <v>Control</v>
      </c>
      <c r="N27" t="s">
        <v>586</v>
      </c>
      <c r="O27" t="s">
        <v>707</v>
      </c>
      <c r="R27" t="s">
        <v>408</v>
      </c>
      <c r="S27" t="s">
        <v>701</v>
      </c>
      <c r="T27" t="s">
        <v>695</v>
      </c>
      <c r="U27" t="s">
        <v>609</v>
      </c>
      <c r="V27" s="1" t="s">
        <v>774</v>
      </c>
      <c r="W27" s="1">
        <v>1.0390000000000001E-8</v>
      </c>
      <c r="X27" s="1"/>
      <c r="Y27" s="1"/>
      <c r="Z27" s="1"/>
      <c r="AA27" s="1"/>
      <c r="AB27" s="1">
        <v>1.0330000000000001E-8</v>
      </c>
      <c r="AC27" s="1"/>
      <c r="AD27" s="9"/>
      <c r="AF27" s="2"/>
      <c r="AG27" s="2"/>
      <c r="AK27" t="s">
        <v>199</v>
      </c>
    </row>
    <row r="28" spans="1:37" hidden="1" x14ac:dyDescent="0.25">
      <c r="A28" t="s">
        <v>584</v>
      </c>
      <c r="B28" t="s">
        <v>53</v>
      </c>
      <c r="C28" t="s">
        <v>54</v>
      </c>
      <c r="D28" t="s">
        <v>16</v>
      </c>
      <c r="E28" t="s">
        <v>17</v>
      </c>
      <c r="F28" t="s">
        <v>18</v>
      </c>
      <c r="G28" t="s">
        <v>18</v>
      </c>
      <c r="H28" t="s">
        <v>18</v>
      </c>
      <c r="I28" t="s">
        <v>704</v>
      </c>
      <c r="J28">
        <v>98</v>
      </c>
      <c r="K28" t="s">
        <v>624</v>
      </c>
      <c r="L28" t="s">
        <v>48</v>
      </c>
      <c r="M28" t="str">
        <f t="shared" si="5"/>
        <v>Stress</v>
      </c>
      <c r="N28" t="s">
        <v>586</v>
      </c>
      <c r="O28" t="s">
        <v>707</v>
      </c>
      <c r="R28" t="s">
        <v>408</v>
      </c>
      <c r="S28" t="s">
        <v>701</v>
      </c>
      <c r="T28" t="s">
        <v>695</v>
      </c>
      <c r="U28" t="s">
        <v>609</v>
      </c>
      <c r="V28" s="1" t="s">
        <v>774</v>
      </c>
      <c r="W28" s="1">
        <v>2.52E-9</v>
      </c>
      <c r="X28" s="1"/>
      <c r="Y28" s="1"/>
      <c r="Z28" s="1"/>
      <c r="AA28" s="1"/>
      <c r="AB28" s="1">
        <v>3.8700000000000001E-9</v>
      </c>
      <c r="AC28" s="1"/>
      <c r="AD28" s="9"/>
      <c r="AF28" s="2"/>
      <c r="AG28" s="2"/>
      <c r="AK28" t="s">
        <v>199</v>
      </c>
    </row>
    <row r="29" spans="1:37" hidden="1" x14ac:dyDescent="0.25">
      <c r="A29" t="s">
        <v>584</v>
      </c>
      <c r="B29" t="s">
        <v>53</v>
      </c>
      <c r="C29" t="s">
        <v>54</v>
      </c>
      <c r="D29" t="s">
        <v>16</v>
      </c>
      <c r="E29" t="s">
        <v>17</v>
      </c>
      <c r="F29" t="s">
        <v>18</v>
      </c>
      <c r="G29" t="s">
        <v>18</v>
      </c>
      <c r="H29" t="s">
        <v>18</v>
      </c>
      <c r="I29" t="s">
        <v>704</v>
      </c>
      <c r="J29">
        <v>94</v>
      </c>
      <c r="K29" t="s">
        <v>624</v>
      </c>
      <c r="L29" t="s">
        <v>36</v>
      </c>
      <c r="M29" t="str">
        <f t="shared" si="5"/>
        <v>Control</v>
      </c>
      <c r="N29" t="s">
        <v>585</v>
      </c>
      <c r="O29" t="s">
        <v>707</v>
      </c>
      <c r="R29" t="s">
        <v>408</v>
      </c>
      <c r="S29" t="s">
        <v>701</v>
      </c>
      <c r="T29" t="s">
        <v>695</v>
      </c>
      <c r="U29" t="s">
        <v>610</v>
      </c>
      <c r="V29" s="1" t="s">
        <v>774</v>
      </c>
      <c r="W29" s="1">
        <v>5.3700000000000003E-9</v>
      </c>
      <c r="X29" s="1">
        <v>1E-10</v>
      </c>
      <c r="Y29" s="1">
        <v>5.0000000000000004E-6</v>
      </c>
      <c r="Z29" s="1"/>
      <c r="AA29" s="1"/>
      <c r="AB29" s="1">
        <v>4.8799999999999997E-9</v>
      </c>
      <c r="AC29" s="1"/>
      <c r="AD29" s="9"/>
      <c r="AF29" s="2"/>
      <c r="AG29" s="2"/>
      <c r="AK29" t="s">
        <v>348</v>
      </c>
    </row>
    <row r="30" spans="1:37" hidden="1" x14ac:dyDescent="0.25">
      <c r="A30" t="s">
        <v>584</v>
      </c>
      <c r="B30" t="s">
        <v>53</v>
      </c>
      <c r="C30" t="s">
        <v>54</v>
      </c>
      <c r="D30" t="s">
        <v>16</v>
      </c>
      <c r="E30" t="s">
        <v>17</v>
      </c>
      <c r="F30" t="s">
        <v>18</v>
      </c>
      <c r="G30" t="s">
        <v>18</v>
      </c>
      <c r="H30" t="s">
        <v>18</v>
      </c>
      <c r="I30" t="s">
        <v>704</v>
      </c>
      <c r="J30">
        <v>94</v>
      </c>
      <c r="K30" t="s">
        <v>624</v>
      </c>
      <c r="L30" t="s">
        <v>48</v>
      </c>
      <c r="M30" t="str">
        <f t="shared" si="5"/>
        <v>Stress</v>
      </c>
      <c r="N30" t="s">
        <v>585</v>
      </c>
      <c r="O30" t="s">
        <v>707</v>
      </c>
      <c r="R30" t="s">
        <v>408</v>
      </c>
      <c r="S30" t="s">
        <v>701</v>
      </c>
      <c r="T30" t="s">
        <v>695</v>
      </c>
      <c r="U30" t="s">
        <v>610</v>
      </c>
      <c r="V30" s="1" t="s">
        <v>774</v>
      </c>
      <c r="W30" s="1">
        <v>2.0700000000000001E-9</v>
      </c>
      <c r="X30" s="1">
        <v>1.0000000000000001E-9</v>
      </c>
      <c r="Y30" s="1">
        <v>5.0000000000000002E-5</v>
      </c>
      <c r="Z30" s="1"/>
      <c r="AA30" s="1"/>
      <c r="AB30" s="1">
        <v>2.4199999999999999E-9</v>
      </c>
      <c r="AC30" s="1"/>
      <c r="AD30" s="9"/>
      <c r="AF30" s="2"/>
      <c r="AG30" s="2"/>
      <c r="AK30" t="s">
        <v>348</v>
      </c>
    </row>
    <row r="31" spans="1:37" hidden="1" x14ac:dyDescent="0.25">
      <c r="A31" t="s">
        <v>584</v>
      </c>
      <c r="B31" t="s">
        <v>53</v>
      </c>
      <c r="C31" t="s">
        <v>54</v>
      </c>
      <c r="D31" t="s">
        <v>16</v>
      </c>
      <c r="E31" t="s">
        <v>17</v>
      </c>
      <c r="F31" t="s">
        <v>18</v>
      </c>
      <c r="G31" t="s">
        <v>18</v>
      </c>
      <c r="H31" t="s">
        <v>18</v>
      </c>
      <c r="I31" t="s">
        <v>704</v>
      </c>
      <c r="J31">
        <v>98</v>
      </c>
      <c r="K31" t="s">
        <v>624</v>
      </c>
      <c r="L31" t="s">
        <v>36</v>
      </c>
      <c r="M31" t="str">
        <f t="shared" si="5"/>
        <v>Control</v>
      </c>
      <c r="N31" t="s">
        <v>586</v>
      </c>
      <c r="O31" t="s">
        <v>707</v>
      </c>
      <c r="R31" t="s">
        <v>408</v>
      </c>
      <c r="S31" t="s">
        <v>701</v>
      </c>
      <c r="T31" t="s">
        <v>695</v>
      </c>
      <c r="U31" t="s">
        <v>610</v>
      </c>
      <c r="V31" s="1" t="s">
        <v>774</v>
      </c>
      <c r="W31" s="1">
        <v>1.7000000000000001E-9</v>
      </c>
      <c r="X31" s="1">
        <v>2.0000000000000001E-9</v>
      </c>
      <c r="Y31" s="1">
        <v>1E-4</v>
      </c>
      <c r="Z31" s="1"/>
      <c r="AA31" s="1"/>
      <c r="AB31" s="1">
        <v>1.7000000000000001E-9</v>
      </c>
      <c r="AC31" s="1"/>
      <c r="AD31" s="9"/>
      <c r="AF31" s="2"/>
      <c r="AG31" s="2"/>
      <c r="AK31" t="s">
        <v>348</v>
      </c>
    </row>
    <row r="32" spans="1:37" hidden="1" x14ac:dyDescent="0.25">
      <c r="A32" t="s">
        <v>584</v>
      </c>
      <c r="B32" t="s">
        <v>53</v>
      </c>
      <c r="C32" t="s">
        <v>54</v>
      </c>
      <c r="D32" t="s">
        <v>16</v>
      </c>
      <c r="E32" t="s">
        <v>17</v>
      </c>
      <c r="F32" t="s">
        <v>18</v>
      </c>
      <c r="G32" t="s">
        <v>18</v>
      </c>
      <c r="H32" t="s">
        <v>18</v>
      </c>
      <c r="I32" t="s">
        <v>704</v>
      </c>
      <c r="J32">
        <v>98</v>
      </c>
      <c r="K32" t="s">
        <v>624</v>
      </c>
      <c r="L32" t="s">
        <v>48</v>
      </c>
      <c r="M32" t="str">
        <f t="shared" si="5"/>
        <v>Stress</v>
      </c>
      <c r="N32" t="s">
        <v>586</v>
      </c>
      <c r="O32" t="s">
        <v>707</v>
      </c>
      <c r="R32" t="s">
        <v>408</v>
      </c>
      <c r="S32" t="s">
        <v>701</v>
      </c>
      <c r="T32" t="s">
        <v>695</v>
      </c>
      <c r="U32" t="s">
        <v>610</v>
      </c>
      <c r="V32" s="1" t="s">
        <v>774</v>
      </c>
      <c r="W32" s="1">
        <v>5.400000000000001E-10</v>
      </c>
      <c r="X32" s="1"/>
      <c r="Y32" s="1"/>
      <c r="Z32" s="1"/>
      <c r="AA32" s="1"/>
      <c r="AB32" s="1">
        <v>8.3000000000000013E-10</v>
      </c>
      <c r="AC32" s="1"/>
      <c r="AD32" s="9"/>
      <c r="AF32" s="2"/>
      <c r="AG32" s="2"/>
      <c r="AK32" t="s">
        <v>348</v>
      </c>
    </row>
    <row r="33" spans="1:37" hidden="1" x14ac:dyDescent="0.25">
      <c r="A33" t="s">
        <v>19</v>
      </c>
      <c r="B33" t="s">
        <v>20</v>
      </c>
      <c r="C33" t="s">
        <v>21</v>
      </c>
      <c r="D33" t="s">
        <v>22</v>
      </c>
      <c r="E33" t="s">
        <v>17</v>
      </c>
      <c r="F33" t="s">
        <v>23</v>
      </c>
      <c r="G33" t="s">
        <v>763</v>
      </c>
      <c r="H33" t="s">
        <v>760</v>
      </c>
      <c r="I33" t="s">
        <v>705</v>
      </c>
      <c r="J33">
        <f>2*365</f>
        <v>730</v>
      </c>
      <c r="K33" t="s">
        <v>24</v>
      </c>
      <c r="L33" t="s">
        <v>36</v>
      </c>
      <c r="M33" t="str">
        <f t="shared" si="5"/>
        <v>Control</v>
      </c>
      <c r="R33" t="s">
        <v>408</v>
      </c>
      <c r="S33" t="s">
        <v>701</v>
      </c>
      <c r="T33" t="s">
        <v>695</v>
      </c>
      <c r="U33" t="s">
        <v>609</v>
      </c>
      <c r="V33" s="1"/>
      <c r="W33" s="1"/>
      <c r="X33" s="1"/>
      <c r="Y33" s="1"/>
      <c r="Z33" s="1"/>
      <c r="AA33" s="1"/>
      <c r="AC33" s="1">
        <f>'[8]Rodriguez-Dominguez&amp;Brodribb_20'!C2</f>
        <v>2.2604651162790657E-8</v>
      </c>
      <c r="AF33" s="2"/>
      <c r="AG33" s="2"/>
      <c r="AK33" t="s">
        <v>25</v>
      </c>
    </row>
    <row r="34" spans="1:37" hidden="1" x14ac:dyDescent="0.25">
      <c r="A34" t="s">
        <v>19</v>
      </c>
      <c r="B34" t="s">
        <v>20</v>
      </c>
      <c r="C34" t="s">
        <v>21</v>
      </c>
      <c r="D34" t="s">
        <v>22</v>
      </c>
      <c r="E34" t="s">
        <v>17</v>
      </c>
      <c r="F34" t="s">
        <v>23</v>
      </c>
      <c r="G34" t="s">
        <v>763</v>
      </c>
      <c r="H34" t="s">
        <v>760</v>
      </c>
      <c r="I34" t="s">
        <v>705</v>
      </c>
      <c r="J34">
        <f>2*365</f>
        <v>730</v>
      </c>
      <c r="K34" t="s">
        <v>24</v>
      </c>
      <c r="L34" t="s">
        <v>736</v>
      </c>
      <c r="M34" t="str">
        <f t="shared" si="5"/>
        <v>Stress</v>
      </c>
      <c r="R34" t="s">
        <v>408</v>
      </c>
      <c r="S34" t="s">
        <v>701</v>
      </c>
      <c r="T34" t="s">
        <v>695</v>
      </c>
      <c r="U34" t="s">
        <v>609</v>
      </c>
      <c r="V34" s="1"/>
      <c r="W34" s="1"/>
      <c r="X34" s="1"/>
      <c r="Y34" s="1"/>
      <c r="Z34" s="1"/>
      <c r="AA34" s="1"/>
      <c r="AC34" s="1">
        <f>'[8]Rodriguez-Dominguez&amp;Brodribb_20'!C3</f>
        <v>2.1348837209302198E-8</v>
      </c>
      <c r="AF34" s="2"/>
      <c r="AG34" s="2"/>
      <c r="AK34" t="s">
        <v>25</v>
      </c>
    </row>
    <row r="35" spans="1:37" hidden="1" x14ac:dyDescent="0.25">
      <c r="A35" t="s">
        <v>19</v>
      </c>
      <c r="B35" t="s">
        <v>20</v>
      </c>
      <c r="C35" t="s">
        <v>21</v>
      </c>
      <c r="D35" t="s">
        <v>22</v>
      </c>
      <c r="E35" t="s">
        <v>17</v>
      </c>
      <c r="F35" t="s">
        <v>23</v>
      </c>
      <c r="G35" t="s">
        <v>763</v>
      </c>
      <c r="H35" t="s">
        <v>760</v>
      </c>
      <c r="I35" t="s">
        <v>705</v>
      </c>
      <c r="J35">
        <f>2*365</f>
        <v>730</v>
      </c>
      <c r="K35" t="s">
        <v>24</v>
      </c>
      <c r="L35" t="s">
        <v>737</v>
      </c>
      <c r="M35" t="str">
        <f t="shared" si="5"/>
        <v>Stress</v>
      </c>
      <c r="R35" t="s">
        <v>408</v>
      </c>
      <c r="S35" t="s">
        <v>701</v>
      </c>
      <c r="T35" t="s">
        <v>695</v>
      </c>
      <c r="U35" t="s">
        <v>609</v>
      </c>
      <c r="V35" s="1"/>
      <c r="W35" s="1"/>
      <c r="X35" s="1"/>
      <c r="Y35" s="1"/>
      <c r="Z35" s="1"/>
      <c r="AA35" s="1"/>
      <c r="AC35" s="1">
        <f>'[8]Rodriguez-Dominguez&amp;Brodribb_20'!C4</f>
        <v>2.3232558139534796E-8</v>
      </c>
      <c r="AF35" s="2"/>
      <c r="AG35" s="2"/>
      <c r="AK35" t="s">
        <v>25</v>
      </c>
    </row>
    <row r="36" spans="1:37" hidden="1" x14ac:dyDescent="0.25">
      <c r="A36" t="s">
        <v>582</v>
      </c>
      <c r="B36" t="s">
        <v>583</v>
      </c>
      <c r="C36" t="s">
        <v>573</v>
      </c>
      <c r="D36" t="s">
        <v>574</v>
      </c>
      <c r="E36" t="s">
        <v>17</v>
      </c>
      <c r="F36" t="s">
        <v>614</v>
      </c>
      <c r="G36" t="s">
        <v>614</v>
      </c>
      <c r="H36" t="s">
        <v>801</v>
      </c>
      <c r="I36" t="s">
        <v>804</v>
      </c>
      <c r="J36">
        <f>4*7</f>
        <v>28</v>
      </c>
      <c r="K36" t="s">
        <v>625</v>
      </c>
      <c r="L36" t="s">
        <v>36</v>
      </c>
      <c r="M36" t="str">
        <f t="shared" si="5"/>
        <v>Control</v>
      </c>
      <c r="N36" t="s">
        <v>626</v>
      </c>
      <c r="O36" t="s">
        <v>707</v>
      </c>
      <c r="R36" t="s">
        <v>408</v>
      </c>
      <c r="S36" t="s">
        <v>701</v>
      </c>
      <c r="T36" t="s">
        <v>695</v>
      </c>
      <c r="U36" t="s">
        <v>609</v>
      </c>
      <c r="V36" s="1" t="s">
        <v>774</v>
      </c>
      <c r="W36" s="1">
        <f>'[9]Liu_etal_2020_Fig3d-f'!C2</f>
        <v>2.1731123388581944E-8</v>
      </c>
      <c r="X36" s="1"/>
      <c r="Y36" s="1"/>
      <c r="Z36" s="1"/>
      <c r="AA36" s="1"/>
      <c r="AC36" s="1"/>
      <c r="AF36" s="2"/>
      <c r="AG36" s="2"/>
      <c r="AK36" t="s">
        <v>199</v>
      </c>
    </row>
    <row r="37" spans="1:37" hidden="1" x14ac:dyDescent="0.25">
      <c r="A37" t="s">
        <v>582</v>
      </c>
      <c r="B37" t="s">
        <v>583</v>
      </c>
      <c r="C37" t="s">
        <v>573</v>
      </c>
      <c r="D37" t="s">
        <v>574</v>
      </c>
      <c r="E37" t="s">
        <v>17</v>
      </c>
      <c r="F37" t="s">
        <v>614</v>
      </c>
      <c r="G37" t="s">
        <v>614</v>
      </c>
      <c r="H37" t="s">
        <v>801</v>
      </c>
      <c r="I37" t="s">
        <v>804</v>
      </c>
      <c r="J37">
        <f>4*7</f>
        <v>28</v>
      </c>
      <c r="K37" t="s">
        <v>625</v>
      </c>
      <c r="L37" t="s">
        <v>570</v>
      </c>
      <c r="M37" t="str">
        <f t="shared" si="5"/>
        <v>Stress</v>
      </c>
      <c r="N37" t="s">
        <v>626</v>
      </c>
      <c r="O37" t="s">
        <v>707</v>
      </c>
      <c r="R37" t="s">
        <v>408</v>
      </c>
      <c r="S37" t="s">
        <v>701</v>
      </c>
      <c r="T37" t="s">
        <v>695</v>
      </c>
      <c r="U37" t="s">
        <v>609</v>
      </c>
      <c r="V37" s="1" t="s">
        <v>774</v>
      </c>
      <c r="W37" s="1">
        <f>'[9]Liu_etal_2020_Fig3d-f'!C3</f>
        <v>2.8545119705340557E-9</v>
      </c>
      <c r="X37" s="1"/>
      <c r="Y37" s="1"/>
      <c r="Z37" s="1"/>
      <c r="AA37" s="1"/>
      <c r="AC37" s="1"/>
      <c r="AF37" s="2"/>
      <c r="AG37" s="2"/>
      <c r="AK37" t="s">
        <v>199</v>
      </c>
    </row>
    <row r="38" spans="1:37" hidden="1" x14ac:dyDescent="0.25">
      <c r="A38" t="s">
        <v>582</v>
      </c>
      <c r="B38" t="s">
        <v>583</v>
      </c>
      <c r="C38" t="s">
        <v>573</v>
      </c>
      <c r="D38" t="s">
        <v>574</v>
      </c>
      <c r="E38" t="s">
        <v>17</v>
      </c>
      <c r="F38" t="s">
        <v>614</v>
      </c>
      <c r="G38" t="s">
        <v>614</v>
      </c>
      <c r="H38" t="s">
        <v>801</v>
      </c>
      <c r="I38" t="s">
        <v>804</v>
      </c>
      <c r="J38">
        <f>8*7</f>
        <v>56</v>
      </c>
      <c r="K38" t="s">
        <v>625</v>
      </c>
      <c r="L38" t="s">
        <v>36</v>
      </c>
      <c r="M38" t="str">
        <f t="shared" si="5"/>
        <v>Control</v>
      </c>
      <c r="N38" t="s">
        <v>627</v>
      </c>
      <c r="O38" t="s">
        <v>707</v>
      </c>
      <c r="R38" t="s">
        <v>408</v>
      </c>
      <c r="S38" t="s">
        <v>701</v>
      </c>
      <c r="T38" t="s">
        <v>695</v>
      </c>
      <c r="U38" t="s">
        <v>609</v>
      </c>
      <c r="V38" s="1" t="s">
        <v>774</v>
      </c>
      <c r="W38" s="1">
        <f>'[9]Liu_etal_2020_Fig3d-f'!C8</f>
        <v>1.5837937384898695E-8</v>
      </c>
      <c r="X38" s="1"/>
      <c r="Y38" s="1"/>
      <c r="Z38" s="1"/>
      <c r="AA38" s="1"/>
      <c r="AC38" s="1"/>
      <c r="AF38" s="2"/>
      <c r="AG38" s="2"/>
      <c r="AK38" t="s">
        <v>199</v>
      </c>
    </row>
    <row r="39" spans="1:37" hidden="1" x14ac:dyDescent="0.25">
      <c r="A39" t="s">
        <v>582</v>
      </c>
      <c r="B39" t="s">
        <v>583</v>
      </c>
      <c r="C39" t="s">
        <v>573</v>
      </c>
      <c r="D39" t="s">
        <v>574</v>
      </c>
      <c r="E39" t="s">
        <v>17</v>
      </c>
      <c r="F39" t="s">
        <v>614</v>
      </c>
      <c r="G39" t="s">
        <v>614</v>
      </c>
      <c r="H39" t="s">
        <v>801</v>
      </c>
      <c r="I39" t="s">
        <v>804</v>
      </c>
      <c r="J39">
        <f>8*7</f>
        <v>56</v>
      </c>
      <c r="K39" t="s">
        <v>625</v>
      </c>
      <c r="L39" t="s">
        <v>570</v>
      </c>
      <c r="M39" t="str">
        <f t="shared" si="5"/>
        <v>Stress</v>
      </c>
      <c r="N39" t="s">
        <v>627</v>
      </c>
      <c r="O39" t="s">
        <v>707</v>
      </c>
      <c r="R39" t="s">
        <v>408</v>
      </c>
      <c r="S39" t="s">
        <v>701</v>
      </c>
      <c r="T39" t="s">
        <v>695</v>
      </c>
      <c r="U39" t="s">
        <v>609</v>
      </c>
      <c r="V39" s="1" t="s">
        <v>774</v>
      </c>
      <c r="W39" s="1">
        <f>'[9]Liu_etal_2020_Fig3d-f'!C9</f>
        <v>7.5506445672191385E-9</v>
      </c>
      <c r="X39" s="1"/>
      <c r="Y39" s="1"/>
      <c r="Z39" s="1"/>
      <c r="AA39" s="1"/>
      <c r="AC39" s="1"/>
      <c r="AF39" s="2"/>
      <c r="AG39" s="2"/>
      <c r="AK39" t="s">
        <v>199</v>
      </c>
    </row>
    <row r="40" spans="1:37" hidden="1" x14ac:dyDescent="0.25">
      <c r="A40" t="s">
        <v>582</v>
      </c>
      <c r="B40" t="s">
        <v>583</v>
      </c>
      <c r="C40" t="s">
        <v>573</v>
      </c>
      <c r="D40" t="s">
        <v>574</v>
      </c>
      <c r="E40" t="s">
        <v>17</v>
      </c>
      <c r="F40" t="s">
        <v>614</v>
      </c>
      <c r="G40" t="s">
        <v>614</v>
      </c>
      <c r="H40" t="s">
        <v>801</v>
      </c>
      <c r="I40" t="s">
        <v>804</v>
      </c>
      <c r="J40">
        <f>16*7</f>
        <v>112</v>
      </c>
      <c r="K40" t="s">
        <v>625</v>
      </c>
      <c r="L40" t="s">
        <v>36</v>
      </c>
      <c r="M40" t="str">
        <f t="shared" si="5"/>
        <v>Control</v>
      </c>
      <c r="N40" t="s">
        <v>628</v>
      </c>
      <c r="O40" t="s">
        <v>707</v>
      </c>
      <c r="R40" t="s">
        <v>408</v>
      </c>
      <c r="S40" t="s">
        <v>701</v>
      </c>
      <c r="T40" t="s">
        <v>695</v>
      </c>
      <c r="U40" t="s">
        <v>609</v>
      </c>
      <c r="V40" s="1" t="s">
        <v>774</v>
      </c>
      <c r="W40" s="1">
        <f>'[9]Liu_etal_2020_Fig3d-f'!C14</f>
        <v>8.1031307550644441E-9</v>
      </c>
      <c r="X40" s="1"/>
      <c r="Y40" s="1"/>
      <c r="Z40" s="1"/>
      <c r="AA40" s="1"/>
      <c r="AC40" s="1"/>
      <c r="AF40" s="2"/>
      <c r="AG40" s="2"/>
      <c r="AK40" t="s">
        <v>199</v>
      </c>
    </row>
    <row r="41" spans="1:37" hidden="1" x14ac:dyDescent="0.25">
      <c r="A41" t="s">
        <v>582</v>
      </c>
      <c r="B41" t="s">
        <v>583</v>
      </c>
      <c r="C41" t="s">
        <v>573</v>
      </c>
      <c r="D41" t="s">
        <v>574</v>
      </c>
      <c r="E41" t="s">
        <v>17</v>
      </c>
      <c r="F41" t="s">
        <v>614</v>
      </c>
      <c r="G41" t="s">
        <v>614</v>
      </c>
      <c r="H41" t="s">
        <v>801</v>
      </c>
      <c r="I41" t="s">
        <v>804</v>
      </c>
      <c r="J41">
        <f>16*7</f>
        <v>112</v>
      </c>
      <c r="K41" t="s">
        <v>625</v>
      </c>
      <c r="L41" t="s">
        <v>570</v>
      </c>
      <c r="M41" t="str">
        <f t="shared" si="5"/>
        <v>Stress</v>
      </c>
      <c r="N41" t="s">
        <v>628</v>
      </c>
      <c r="O41" t="s">
        <v>707</v>
      </c>
      <c r="R41" t="s">
        <v>408</v>
      </c>
      <c r="S41" t="s">
        <v>701</v>
      </c>
      <c r="T41" t="s">
        <v>695</v>
      </c>
      <c r="U41" t="s">
        <v>609</v>
      </c>
      <c r="V41" s="1" t="s">
        <v>774</v>
      </c>
      <c r="W41" s="1">
        <f>'[9]Liu_etal_2020_Fig3d-f'!C15</f>
        <v>7.1823204419889169E-9</v>
      </c>
      <c r="X41" s="1"/>
      <c r="Y41" s="1"/>
      <c r="Z41" s="1"/>
      <c r="AA41" s="1"/>
      <c r="AC41" s="1"/>
      <c r="AF41" s="2"/>
      <c r="AG41" s="2"/>
      <c r="AK41" t="s">
        <v>199</v>
      </c>
    </row>
    <row r="42" spans="1:37" hidden="1" x14ac:dyDescent="0.25">
      <c r="A42" t="s">
        <v>575</v>
      </c>
      <c r="B42" t="s">
        <v>576</v>
      </c>
      <c r="C42" t="s">
        <v>577</v>
      </c>
      <c r="D42" t="s">
        <v>16</v>
      </c>
      <c r="E42" t="s">
        <v>17</v>
      </c>
      <c r="F42" t="s">
        <v>18</v>
      </c>
      <c r="G42" t="s">
        <v>18</v>
      </c>
      <c r="H42" t="s">
        <v>18</v>
      </c>
      <c r="I42" t="s">
        <v>704</v>
      </c>
      <c r="J42">
        <f t="shared" ref="J42:J50" si="6">+AVERAGE(45,52)</f>
        <v>48.5</v>
      </c>
      <c r="K42" t="s">
        <v>590</v>
      </c>
      <c r="L42" t="s">
        <v>36</v>
      </c>
      <c r="M42" t="str">
        <f t="shared" si="5"/>
        <v>Control</v>
      </c>
      <c r="R42" t="s">
        <v>408</v>
      </c>
      <c r="S42" t="s">
        <v>701</v>
      </c>
      <c r="T42" t="s">
        <v>695</v>
      </c>
      <c r="U42" t="s">
        <v>610</v>
      </c>
      <c r="V42" s="1" t="s">
        <v>733</v>
      </c>
      <c r="W42" s="1">
        <f t="shared" ref="W42:W50" si="7">+AB42*AD42/10000</f>
        <v>3.5317245119305604E-11</v>
      </c>
      <c r="X42" s="1"/>
      <c r="Y42" s="1"/>
      <c r="Z42" s="1"/>
      <c r="AA42" s="1"/>
      <c r="AB42" s="1">
        <f>[10]Li_etal_2020_Fig2ac!B2</f>
        <v>1.9267751479289902E-8</v>
      </c>
      <c r="AC42" s="1"/>
      <c r="AD42" s="2">
        <f>[11]Li_etal_2020_Fig1d!B2</f>
        <v>18.3297180043383</v>
      </c>
      <c r="AF42" s="2"/>
      <c r="AG42" s="2"/>
      <c r="AK42" t="s">
        <v>348</v>
      </c>
    </row>
    <row r="43" spans="1:37" hidden="1" x14ac:dyDescent="0.25">
      <c r="A43" t="s">
        <v>575</v>
      </c>
      <c r="B43" t="s">
        <v>576</v>
      </c>
      <c r="C43" t="s">
        <v>577</v>
      </c>
      <c r="D43" t="s">
        <v>16</v>
      </c>
      <c r="E43" t="s">
        <v>17</v>
      </c>
      <c r="F43" t="s">
        <v>18</v>
      </c>
      <c r="G43" t="s">
        <v>18</v>
      </c>
      <c r="H43" t="s">
        <v>18</v>
      </c>
      <c r="I43" t="s">
        <v>704</v>
      </c>
      <c r="J43">
        <f t="shared" si="6"/>
        <v>48.5</v>
      </c>
      <c r="K43" t="s">
        <v>590</v>
      </c>
      <c r="L43" t="s">
        <v>380</v>
      </c>
      <c r="M43" t="str">
        <f t="shared" si="5"/>
        <v>Stress</v>
      </c>
      <c r="R43" t="s">
        <v>408</v>
      </c>
      <c r="S43" t="s">
        <v>701</v>
      </c>
      <c r="T43" t="s">
        <v>695</v>
      </c>
      <c r="U43" t="s">
        <v>610</v>
      </c>
      <c r="V43" s="1" t="s">
        <v>733</v>
      </c>
      <c r="W43" s="1">
        <f t="shared" si="7"/>
        <v>2.5953355838221379E-11</v>
      </c>
      <c r="X43" s="1"/>
      <c r="Y43" s="1"/>
      <c r="Z43" s="1"/>
      <c r="AA43" s="1"/>
      <c r="AB43" s="1">
        <f>[10]Li_etal_2020_Fig2ac!B3</f>
        <v>1.4201183431952601E-8</v>
      </c>
      <c r="AC43" s="1"/>
      <c r="AD43" s="2">
        <f>[11]Li_etal_2020_Fig1d!B3</f>
        <v>18.275488069414301</v>
      </c>
      <c r="AF43" s="2"/>
      <c r="AG43" s="2"/>
      <c r="AK43" t="s">
        <v>348</v>
      </c>
    </row>
    <row r="44" spans="1:37" hidden="1" x14ac:dyDescent="0.25">
      <c r="A44" t="s">
        <v>575</v>
      </c>
      <c r="B44" t="s">
        <v>576</v>
      </c>
      <c r="C44" t="s">
        <v>577</v>
      </c>
      <c r="D44" t="s">
        <v>16</v>
      </c>
      <c r="E44" t="s">
        <v>17</v>
      </c>
      <c r="F44" t="s">
        <v>18</v>
      </c>
      <c r="G44" t="s">
        <v>18</v>
      </c>
      <c r="H44" t="s">
        <v>18</v>
      </c>
      <c r="I44" t="s">
        <v>704</v>
      </c>
      <c r="J44">
        <f t="shared" si="6"/>
        <v>48.5</v>
      </c>
      <c r="K44" t="s">
        <v>590</v>
      </c>
      <c r="L44" t="s">
        <v>578</v>
      </c>
      <c r="M44" t="str">
        <f t="shared" si="5"/>
        <v>Stress</v>
      </c>
      <c r="R44" t="s">
        <v>408</v>
      </c>
      <c r="S44" t="s">
        <v>701</v>
      </c>
      <c r="T44" t="s">
        <v>695</v>
      </c>
      <c r="U44" t="s">
        <v>610</v>
      </c>
      <c r="V44" s="1" t="s">
        <v>733</v>
      </c>
      <c r="W44" s="1">
        <f t="shared" si="7"/>
        <v>1.7613096689727624E-11</v>
      </c>
      <c r="X44" s="1"/>
      <c r="Y44" s="1"/>
      <c r="Z44" s="1"/>
      <c r="AA44" s="1"/>
      <c r="AB44" s="1">
        <f>[10]Li_etal_2020_Fig2ac!B4</f>
        <v>1.13165680473372E-8</v>
      </c>
      <c r="AC44" s="1"/>
      <c r="AD44" s="2">
        <f>[11]Li_etal_2020_Fig1d!B4</f>
        <v>15.5639913232104</v>
      </c>
      <c r="AF44" s="2"/>
      <c r="AG44" s="2"/>
      <c r="AK44" t="s">
        <v>348</v>
      </c>
    </row>
    <row r="45" spans="1:37" hidden="1" x14ac:dyDescent="0.25">
      <c r="A45" t="s">
        <v>575</v>
      </c>
      <c r="B45" t="s">
        <v>576</v>
      </c>
      <c r="C45" t="s">
        <v>577</v>
      </c>
      <c r="D45" t="s">
        <v>16</v>
      </c>
      <c r="E45" t="s">
        <v>17</v>
      </c>
      <c r="F45" t="s">
        <v>18</v>
      </c>
      <c r="G45" t="s">
        <v>18</v>
      </c>
      <c r="H45" t="s">
        <v>18</v>
      </c>
      <c r="I45" t="s">
        <v>704</v>
      </c>
      <c r="J45">
        <f t="shared" si="6"/>
        <v>48.5</v>
      </c>
      <c r="K45" t="s">
        <v>591</v>
      </c>
      <c r="L45" t="s">
        <v>36</v>
      </c>
      <c r="M45" t="str">
        <f t="shared" si="5"/>
        <v>Control</v>
      </c>
      <c r="N45" t="s">
        <v>36</v>
      </c>
      <c r="O45" t="str">
        <f t="shared" ref="O45:O50" si="8">+IF(N45="Control","Control","Stress")</f>
        <v>Control</v>
      </c>
      <c r="R45" t="s">
        <v>408</v>
      </c>
      <c r="S45" t="s">
        <v>701</v>
      </c>
      <c r="T45" t="s">
        <v>695</v>
      </c>
      <c r="U45" t="s">
        <v>610</v>
      </c>
      <c r="V45" s="1" t="s">
        <v>733</v>
      </c>
      <c r="W45" s="1">
        <f t="shared" si="7"/>
        <v>3.0572125813448797E-11</v>
      </c>
      <c r="X45" s="1"/>
      <c r="Y45" s="1"/>
      <c r="Z45" s="1"/>
      <c r="AA45" s="1"/>
      <c r="AB45" s="1">
        <f>[10]Li_etal_2020_Fig2ac!B5</f>
        <v>1.6678994082840201E-8</v>
      </c>
      <c r="AC45" s="1"/>
      <c r="AD45" s="2">
        <f>+AD42</f>
        <v>18.3297180043383</v>
      </c>
      <c r="AF45" s="2"/>
      <c r="AG45" s="2"/>
      <c r="AK45" t="s">
        <v>348</v>
      </c>
    </row>
    <row r="46" spans="1:37" hidden="1" x14ac:dyDescent="0.25">
      <c r="A46" t="s">
        <v>575</v>
      </c>
      <c r="B46" t="s">
        <v>576</v>
      </c>
      <c r="C46" t="s">
        <v>577</v>
      </c>
      <c r="D46" t="s">
        <v>16</v>
      </c>
      <c r="E46" t="s">
        <v>17</v>
      </c>
      <c r="F46" t="s">
        <v>18</v>
      </c>
      <c r="G46" t="s">
        <v>18</v>
      </c>
      <c r="H46" t="s">
        <v>18</v>
      </c>
      <c r="I46" t="s">
        <v>704</v>
      </c>
      <c r="J46">
        <f t="shared" si="6"/>
        <v>48.5</v>
      </c>
      <c r="K46" t="s">
        <v>591</v>
      </c>
      <c r="L46" t="s">
        <v>703</v>
      </c>
      <c r="M46" t="str">
        <f t="shared" si="5"/>
        <v>Stress</v>
      </c>
      <c r="N46" t="s">
        <v>36</v>
      </c>
      <c r="O46" t="str">
        <f t="shared" si="8"/>
        <v>Control</v>
      </c>
      <c r="R46" t="s">
        <v>408</v>
      </c>
      <c r="S46" t="s">
        <v>701</v>
      </c>
      <c r="T46" t="s">
        <v>695</v>
      </c>
      <c r="U46" t="s">
        <v>610</v>
      </c>
      <c r="V46" s="1" t="s">
        <v>733</v>
      </c>
      <c r="W46" s="1">
        <f t="shared" si="7"/>
        <v>1.3082971800433767E-11</v>
      </c>
      <c r="X46" s="1"/>
      <c r="Y46" s="1"/>
      <c r="Z46" s="1"/>
      <c r="AA46" s="1"/>
      <c r="AB46" s="1">
        <f>[10]Li_etal_2020_Fig2ac!B6</f>
        <v>7.1375739644970398E-9</v>
      </c>
      <c r="AC46" s="1"/>
      <c r="AD46" s="2">
        <f>+AD42</f>
        <v>18.3297180043383</v>
      </c>
      <c r="AF46" s="2"/>
      <c r="AG46" s="2"/>
      <c r="AK46" t="s">
        <v>348</v>
      </c>
    </row>
    <row r="47" spans="1:37" hidden="1" x14ac:dyDescent="0.25">
      <c r="A47" t="s">
        <v>575</v>
      </c>
      <c r="B47" t="s">
        <v>576</v>
      </c>
      <c r="C47" t="s">
        <v>577</v>
      </c>
      <c r="D47" t="s">
        <v>16</v>
      </c>
      <c r="E47" t="s">
        <v>17</v>
      </c>
      <c r="F47" t="s">
        <v>18</v>
      </c>
      <c r="G47" t="s">
        <v>18</v>
      </c>
      <c r="H47" t="s">
        <v>18</v>
      </c>
      <c r="I47" t="s">
        <v>704</v>
      </c>
      <c r="J47">
        <f t="shared" si="6"/>
        <v>48.5</v>
      </c>
      <c r="K47" t="s">
        <v>591</v>
      </c>
      <c r="L47" t="s">
        <v>36</v>
      </c>
      <c r="M47" t="str">
        <f t="shared" si="5"/>
        <v>Control</v>
      </c>
      <c r="N47" t="s">
        <v>380</v>
      </c>
      <c r="O47" t="str">
        <f t="shared" si="8"/>
        <v>Stress</v>
      </c>
      <c r="R47" t="s">
        <v>408</v>
      </c>
      <c r="S47" t="s">
        <v>701</v>
      </c>
      <c r="T47" t="s">
        <v>695</v>
      </c>
      <c r="U47" t="s">
        <v>610</v>
      </c>
      <c r="V47" s="1" t="s">
        <v>733</v>
      </c>
      <c r="W47" s="1">
        <f t="shared" si="7"/>
        <v>1.0678724537601497E-11</v>
      </c>
      <c r="X47" s="1"/>
      <c r="Y47" s="1"/>
      <c r="Z47" s="1"/>
      <c r="AA47" s="1"/>
      <c r="AB47" s="1">
        <f>[10]Li_etal_2020_Fig2ac!B7</f>
        <v>5.8431952662721597E-9</v>
      </c>
      <c r="AC47" s="1"/>
      <c r="AD47" s="2">
        <f>+AD43</f>
        <v>18.275488069414301</v>
      </c>
      <c r="AF47" s="2"/>
      <c r="AG47" s="2"/>
      <c r="AK47" t="s">
        <v>348</v>
      </c>
    </row>
    <row r="48" spans="1:37" hidden="1" x14ac:dyDescent="0.25">
      <c r="A48" t="s">
        <v>575</v>
      </c>
      <c r="B48" t="s">
        <v>576</v>
      </c>
      <c r="C48" t="s">
        <v>577</v>
      </c>
      <c r="D48" t="s">
        <v>16</v>
      </c>
      <c r="E48" t="s">
        <v>17</v>
      </c>
      <c r="F48" t="s">
        <v>18</v>
      </c>
      <c r="G48" t="s">
        <v>18</v>
      </c>
      <c r="H48" t="s">
        <v>18</v>
      </c>
      <c r="I48" t="s">
        <v>704</v>
      </c>
      <c r="J48">
        <f t="shared" si="6"/>
        <v>48.5</v>
      </c>
      <c r="K48" t="s">
        <v>591</v>
      </c>
      <c r="L48" t="s">
        <v>703</v>
      </c>
      <c r="M48" t="str">
        <f t="shared" si="5"/>
        <v>Stress</v>
      </c>
      <c r="N48" t="s">
        <v>380</v>
      </c>
      <c r="O48" t="str">
        <f t="shared" si="8"/>
        <v>Stress</v>
      </c>
      <c r="R48" t="s">
        <v>408</v>
      </c>
      <c r="S48" t="s">
        <v>701</v>
      </c>
      <c r="T48" t="s">
        <v>695</v>
      </c>
      <c r="U48" t="s">
        <v>610</v>
      </c>
      <c r="V48" s="1" t="s">
        <v>733</v>
      </c>
      <c r="W48" s="1">
        <f t="shared" si="7"/>
        <v>6.1504046387451879E-12</v>
      </c>
      <c r="X48" s="1"/>
      <c r="Y48" s="1"/>
      <c r="Z48" s="1"/>
      <c r="AA48" s="1"/>
      <c r="AB48" s="1">
        <f>[10]Li_etal_2020_Fig2ac!B8</f>
        <v>3.3653846153846098E-9</v>
      </c>
      <c r="AC48" s="1"/>
      <c r="AD48" s="2">
        <f>+AD43</f>
        <v>18.275488069414301</v>
      </c>
      <c r="AF48" s="2"/>
      <c r="AG48" s="2"/>
      <c r="AK48" t="s">
        <v>348</v>
      </c>
    </row>
    <row r="49" spans="1:37" hidden="1" x14ac:dyDescent="0.25">
      <c r="A49" t="s">
        <v>575</v>
      </c>
      <c r="B49" t="s">
        <v>576</v>
      </c>
      <c r="C49" t="s">
        <v>577</v>
      </c>
      <c r="D49" t="s">
        <v>16</v>
      </c>
      <c r="E49" t="s">
        <v>17</v>
      </c>
      <c r="F49" t="s">
        <v>18</v>
      </c>
      <c r="G49" t="s">
        <v>18</v>
      </c>
      <c r="H49" t="s">
        <v>18</v>
      </c>
      <c r="I49" t="s">
        <v>704</v>
      </c>
      <c r="J49">
        <f t="shared" si="6"/>
        <v>48.5</v>
      </c>
      <c r="K49" t="s">
        <v>591</v>
      </c>
      <c r="L49" t="s">
        <v>36</v>
      </c>
      <c r="M49" t="str">
        <f t="shared" si="5"/>
        <v>Control</v>
      </c>
      <c r="N49" t="s">
        <v>578</v>
      </c>
      <c r="O49" t="str">
        <f t="shared" si="8"/>
        <v>Stress</v>
      </c>
      <c r="R49" t="s">
        <v>408</v>
      </c>
      <c r="S49" t="s">
        <v>701</v>
      </c>
      <c r="T49" t="s">
        <v>695</v>
      </c>
      <c r="U49" t="s">
        <v>610</v>
      </c>
      <c r="V49" s="1" t="s">
        <v>733</v>
      </c>
      <c r="W49" s="1">
        <f t="shared" si="7"/>
        <v>8.8065483448638733E-12</v>
      </c>
      <c r="X49" s="1"/>
      <c r="Y49" s="1"/>
      <c r="Z49" s="1"/>
      <c r="AA49" s="1"/>
      <c r="AB49" s="1">
        <f>[10]Li_etal_2020_Fig2ac!B9</f>
        <v>5.6582840236686396E-9</v>
      </c>
      <c r="AC49" s="1"/>
      <c r="AD49" s="2">
        <f>+AD44</f>
        <v>15.5639913232104</v>
      </c>
      <c r="AF49" s="2"/>
      <c r="AG49" s="2"/>
      <c r="AK49" t="s">
        <v>348</v>
      </c>
    </row>
    <row r="50" spans="1:37" hidden="1" x14ac:dyDescent="0.25">
      <c r="A50" t="s">
        <v>575</v>
      </c>
      <c r="B50" t="s">
        <v>576</v>
      </c>
      <c r="C50" t="s">
        <v>577</v>
      </c>
      <c r="D50" t="s">
        <v>16</v>
      </c>
      <c r="E50" t="s">
        <v>17</v>
      </c>
      <c r="F50" t="s">
        <v>18</v>
      </c>
      <c r="G50" t="s">
        <v>18</v>
      </c>
      <c r="H50" t="s">
        <v>18</v>
      </c>
      <c r="I50" t="s">
        <v>704</v>
      </c>
      <c r="J50">
        <f t="shared" si="6"/>
        <v>48.5</v>
      </c>
      <c r="K50" t="s">
        <v>591</v>
      </c>
      <c r="L50" t="s">
        <v>703</v>
      </c>
      <c r="M50" t="str">
        <f t="shared" si="5"/>
        <v>Stress</v>
      </c>
      <c r="N50" t="s">
        <v>578</v>
      </c>
      <c r="O50" t="str">
        <f t="shared" si="8"/>
        <v>Stress</v>
      </c>
      <c r="R50" t="s">
        <v>408</v>
      </c>
      <c r="S50" t="s">
        <v>701</v>
      </c>
      <c r="T50" t="s">
        <v>695</v>
      </c>
      <c r="U50" t="s">
        <v>610</v>
      </c>
      <c r="V50" s="1" t="s">
        <v>733</v>
      </c>
      <c r="W50" s="1">
        <f t="shared" si="7"/>
        <v>7.4251289966499198E-12</v>
      </c>
      <c r="X50" s="1"/>
      <c r="Y50" s="1"/>
      <c r="Z50" s="1"/>
      <c r="AA50" s="1"/>
      <c r="AB50" s="1">
        <f>[10]Li_etal_2020_Fig2ac!B10</f>
        <v>4.7707100591715896E-9</v>
      </c>
      <c r="AC50" s="1"/>
      <c r="AD50" s="2">
        <f>+AD44</f>
        <v>15.5639913232104</v>
      </c>
      <c r="AF50" s="2"/>
      <c r="AG50" s="2"/>
      <c r="AK50" t="s">
        <v>348</v>
      </c>
    </row>
    <row r="51" spans="1:37" hidden="1" x14ac:dyDescent="0.25">
      <c r="A51" t="s">
        <v>713</v>
      </c>
      <c r="B51" t="s">
        <v>32</v>
      </c>
      <c r="C51" t="s">
        <v>33</v>
      </c>
      <c r="D51" t="s">
        <v>34</v>
      </c>
      <c r="E51" t="s">
        <v>17</v>
      </c>
      <c r="F51" t="s">
        <v>614</v>
      </c>
      <c r="G51" t="s">
        <v>614</v>
      </c>
      <c r="H51" t="s">
        <v>801</v>
      </c>
      <c r="I51" t="s">
        <v>804</v>
      </c>
      <c r="J51">
        <f>+(6+6)*7</f>
        <v>84</v>
      </c>
      <c r="K51" t="s">
        <v>48</v>
      </c>
      <c r="L51" t="s">
        <v>36</v>
      </c>
      <c r="M51" t="str">
        <f t="shared" si="5"/>
        <v>Control</v>
      </c>
      <c r="R51" t="s">
        <v>408</v>
      </c>
      <c r="S51" t="s">
        <v>701</v>
      </c>
      <c r="T51" t="s">
        <v>695</v>
      </c>
      <c r="U51" t="s">
        <v>609</v>
      </c>
      <c r="V51" s="1"/>
      <c r="W51" s="1"/>
      <c r="X51" s="1">
        <f>'[12]Hernandes&amp;Barrios_2020_Fig1'!B2*0.001</f>
        <v>9.2171717171717102E-10</v>
      </c>
      <c r="Y51" s="1"/>
      <c r="Z51" s="1"/>
      <c r="AA51" s="1"/>
      <c r="AC51" s="1"/>
      <c r="AD51" s="2"/>
      <c r="AF51" s="2"/>
      <c r="AG51" s="2"/>
      <c r="AK51" t="s">
        <v>199</v>
      </c>
    </row>
    <row r="52" spans="1:37" hidden="1" x14ac:dyDescent="0.25">
      <c r="A52" t="s">
        <v>713</v>
      </c>
      <c r="B52" t="s">
        <v>32</v>
      </c>
      <c r="C52" t="s">
        <v>33</v>
      </c>
      <c r="D52" t="s">
        <v>34</v>
      </c>
      <c r="E52" t="s">
        <v>17</v>
      </c>
      <c r="F52" t="s">
        <v>614</v>
      </c>
      <c r="G52" t="s">
        <v>614</v>
      </c>
      <c r="H52" t="s">
        <v>801</v>
      </c>
      <c r="I52" t="s">
        <v>804</v>
      </c>
      <c r="J52">
        <f>+(6+6)*7</f>
        <v>84</v>
      </c>
      <c r="K52" t="s">
        <v>48</v>
      </c>
      <c r="L52" t="s">
        <v>48</v>
      </c>
      <c r="M52" t="str">
        <f t="shared" si="5"/>
        <v>Stress</v>
      </c>
      <c r="R52" t="s">
        <v>408</v>
      </c>
      <c r="S52" t="s">
        <v>701</v>
      </c>
      <c r="T52" t="s">
        <v>695</v>
      </c>
      <c r="U52" t="s">
        <v>609</v>
      </c>
      <c r="V52" s="1"/>
      <c r="W52" s="1"/>
      <c r="X52" s="1">
        <f>'[12]Hernandes&amp;Barrios_2020_Fig1'!B3*0.001</f>
        <v>5.9090909090909099E-10</v>
      </c>
      <c r="Y52" s="1"/>
      <c r="Z52" s="1"/>
      <c r="AA52" s="1"/>
      <c r="AC52" s="1"/>
      <c r="AD52" s="2"/>
      <c r="AF52" s="2"/>
      <c r="AG52" s="2"/>
      <c r="AK52" t="s">
        <v>199</v>
      </c>
    </row>
    <row r="53" spans="1:37" hidden="1" x14ac:dyDescent="0.25">
      <c r="A53" t="s">
        <v>713</v>
      </c>
      <c r="B53" t="s">
        <v>32</v>
      </c>
      <c r="C53" t="s">
        <v>33</v>
      </c>
      <c r="D53" t="s">
        <v>34</v>
      </c>
      <c r="E53" t="s">
        <v>17</v>
      </c>
      <c r="F53" t="s">
        <v>614</v>
      </c>
      <c r="G53" t="s">
        <v>614</v>
      </c>
      <c r="H53" t="s">
        <v>801</v>
      </c>
      <c r="I53" t="s">
        <v>804</v>
      </c>
      <c r="J53">
        <f>+(6+6)*7</f>
        <v>84</v>
      </c>
      <c r="K53" t="s">
        <v>48</v>
      </c>
      <c r="L53" t="s">
        <v>36</v>
      </c>
      <c r="M53" t="str">
        <f t="shared" si="5"/>
        <v>Control</v>
      </c>
      <c r="R53" t="s">
        <v>408</v>
      </c>
      <c r="S53" t="s">
        <v>701</v>
      </c>
      <c r="T53" t="s">
        <v>695</v>
      </c>
      <c r="U53" t="s">
        <v>610</v>
      </c>
      <c r="V53" s="1"/>
      <c r="W53" s="1"/>
      <c r="X53" s="1">
        <f>'[12]Hernandes&amp;Barrios_2020_Fig1'!B4*0.001</f>
        <v>1.02325581395348E-10</v>
      </c>
      <c r="Y53" s="1"/>
      <c r="Z53" s="1"/>
      <c r="AA53" s="1"/>
      <c r="AC53" s="1"/>
      <c r="AD53" s="2"/>
      <c r="AF53" s="2"/>
      <c r="AG53" s="2"/>
      <c r="AK53" t="s">
        <v>199</v>
      </c>
    </row>
    <row r="54" spans="1:37" hidden="1" x14ac:dyDescent="0.25">
      <c r="A54" t="s">
        <v>713</v>
      </c>
      <c r="B54" t="s">
        <v>32</v>
      </c>
      <c r="C54" t="s">
        <v>33</v>
      </c>
      <c r="D54" t="s">
        <v>34</v>
      </c>
      <c r="E54" t="s">
        <v>17</v>
      </c>
      <c r="F54" t="s">
        <v>614</v>
      </c>
      <c r="G54" t="s">
        <v>614</v>
      </c>
      <c r="H54" t="s">
        <v>801</v>
      </c>
      <c r="I54" t="s">
        <v>804</v>
      </c>
      <c r="J54">
        <f>+(6+6)*7</f>
        <v>84</v>
      </c>
      <c r="K54" t="s">
        <v>48</v>
      </c>
      <c r="L54" t="s">
        <v>48</v>
      </c>
      <c r="M54" t="str">
        <f t="shared" si="5"/>
        <v>Stress</v>
      </c>
      <c r="R54" t="s">
        <v>408</v>
      </c>
      <c r="S54" t="s">
        <v>701</v>
      </c>
      <c r="T54" t="s">
        <v>695</v>
      </c>
      <c r="U54" t="s">
        <v>610</v>
      </c>
      <c r="V54" s="1"/>
      <c r="W54" s="1"/>
      <c r="X54" s="1">
        <f>'[12]Hernandes&amp;Barrios_2020_Fig1'!B5*0.001</f>
        <v>3.5658914728681996E-11</v>
      </c>
      <c r="Y54" s="1"/>
      <c r="Z54" s="1"/>
      <c r="AA54" s="1"/>
      <c r="AC54" s="1"/>
      <c r="AD54" s="2"/>
      <c r="AF54" s="2"/>
      <c r="AG54" s="2"/>
      <c r="AK54" t="s">
        <v>199</v>
      </c>
    </row>
    <row r="55" spans="1:37" hidden="1" x14ac:dyDescent="0.25">
      <c r="A55" t="s">
        <v>26</v>
      </c>
      <c r="B55" t="s">
        <v>27</v>
      </c>
      <c r="C55" t="s">
        <v>28</v>
      </c>
      <c r="D55" t="s">
        <v>16</v>
      </c>
      <c r="E55" t="s">
        <v>29</v>
      </c>
      <c r="F55" t="s">
        <v>30</v>
      </c>
      <c r="G55" t="s">
        <v>30</v>
      </c>
      <c r="H55" t="s">
        <v>30</v>
      </c>
      <c r="I55" t="s">
        <v>704</v>
      </c>
      <c r="J55">
        <v>15</v>
      </c>
      <c r="K55" t="s">
        <v>629</v>
      </c>
      <c r="L55" t="s">
        <v>36</v>
      </c>
      <c r="M55" t="str">
        <f t="shared" si="5"/>
        <v>Control</v>
      </c>
      <c r="N55" t="s">
        <v>413</v>
      </c>
      <c r="O55" t="s">
        <v>707</v>
      </c>
      <c r="R55" t="s">
        <v>408</v>
      </c>
      <c r="S55" t="s">
        <v>701</v>
      </c>
      <c r="T55" t="s">
        <v>695</v>
      </c>
      <c r="U55" t="s">
        <v>609</v>
      </c>
      <c r="V55" s="1" t="s">
        <v>774</v>
      </c>
      <c r="W55" s="1">
        <v>3.7799999999999999E-10</v>
      </c>
      <c r="X55" s="1"/>
      <c r="Y55" s="1"/>
      <c r="Z55" s="1"/>
      <c r="AA55" s="1"/>
      <c r="AB55" s="1">
        <v>1.3E-7</v>
      </c>
      <c r="AC55" s="1"/>
      <c r="AD55">
        <v>18.72</v>
      </c>
      <c r="AE55" s="3">
        <v>358.56</v>
      </c>
      <c r="AF55" s="2"/>
      <c r="AG55" s="2"/>
      <c r="AH55" s="2">
        <v>0.2</v>
      </c>
      <c r="AJ55" s="3"/>
      <c r="AK55" t="s">
        <v>199</v>
      </c>
    </row>
    <row r="56" spans="1:37" hidden="1" x14ac:dyDescent="0.25">
      <c r="A56" t="s">
        <v>26</v>
      </c>
      <c r="B56" t="s">
        <v>27</v>
      </c>
      <c r="C56" t="s">
        <v>28</v>
      </c>
      <c r="D56" t="s">
        <v>16</v>
      </c>
      <c r="E56" t="s">
        <v>29</v>
      </c>
      <c r="F56" t="s">
        <v>30</v>
      </c>
      <c r="G56" t="s">
        <v>30</v>
      </c>
      <c r="H56" t="s">
        <v>30</v>
      </c>
      <c r="I56" t="s">
        <v>704</v>
      </c>
      <c r="J56">
        <v>15</v>
      </c>
      <c r="K56" t="s">
        <v>629</v>
      </c>
      <c r="L56" t="s">
        <v>36</v>
      </c>
      <c r="M56" t="str">
        <f t="shared" si="5"/>
        <v>Control</v>
      </c>
      <c r="N56" t="s">
        <v>414</v>
      </c>
      <c r="O56" t="s">
        <v>707</v>
      </c>
      <c r="R56" t="s">
        <v>408</v>
      </c>
      <c r="S56" t="s">
        <v>701</v>
      </c>
      <c r="T56" t="s">
        <v>695</v>
      </c>
      <c r="U56" t="s">
        <v>609</v>
      </c>
      <c r="V56" s="1" t="s">
        <v>774</v>
      </c>
      <c r="W56" s="1">
        <v>4.8399999999999998E-10</v>
      </c>
      <c r="X56" s="1"/>
      <c r="Y56" s="1"/>
      <c r="Z56" s="1"/>
      <c r="AA56" s="1"/>
      <c r="AB56" s="1">
        <v>9.2700000000000003E-8</v>
      </c>
      <c r="AC56" s="1"/>
      <c r="AD56">
        <v>20.260000000000002</v>
      </c>
      <c r="AE56" s="3">
        <v>477.08</v>
      </c>
      <c r="AF56" s="2"/>
      <c r="AG56" s="2"/>
      <c r="AH56" s="2">
        <v>0.19</v>
      </c>
      <c r="AJ56" s="3"/>
      <c r="AK56" t="s">
        <v>199</v>
      </c>
    </row>
    <row r="57" spans="1:37" hidden="1" x14ac:dyDescent="0.25">
      <c r="A57" t="s">
        <v>26</v>
      </c>
      <c r="B57" t="s">
        <v>27</v>
      </c>
      <c r="C57" t="s">
        <v>28</v>
      </c>
      <c r="D57" t="s">
        <v>16</v>
      </c>
      <c r="E57" t="s">
        <v>29</v>
      </c>
      <c r="F57" t="s">
        <v>30</v>
      </c>
      <c r="G57" t="s">
        <v>30</v>
      </c>
      <c r="H57" t="s">
        <v>30</v>
      </c>
      <c r="I57" t="s">
        <v>704</v>
      </c>
      <c r="J57">
        <v>15</v>
      </c>
      <c r="K57" t="s">
        <v>629</v>
      </c>
      <c r="L57" t="s">
        <v>703</v>
      </c>
      <c r="M57" t="str">
        <f t="shared" ref="M57:M75" si="9">+IF(L57 = "Control", "Control", "Stress")</f>
        <v>Stress</v>
      </c>
      <c r="N57" t="s">
        <v>413</v>
      </c>
      <c r="O57" t="s">
        <v>707</v>
      </c>
      <c r="R57" t="s">
        <v>408</v>
      </c>
      <c r="S57" t="s">
        <v>701</v>
      </c>
      <c r="T57" t="s">
        <v>695</v>
      </c>
      <c r="U57" t="s">
        <v>609</v>
      </c>
      <c r="V57" s="1" t="s">
        <v>774</v>
      </c>
      <c r="W57" s="1">
        <v>6.2700000000000001E-11</v>
      </c>
      <c r="X57" s="1"/>
      <c r="Y57" s="1"/>
      <c r="Z57" s="1"/>
      <c r="AA57" s="1"/>
      <c r="AB57" s="1">
        <v>2E-8</v>
      </c>
      <c r="AC57" s="1"/>
      <c r="AD57">
        <v>18.72</v>
      </c>
      <c r="AE57" s="3">
        <v>358.56</v>
      </c>
      <c r="AF57" s="2"/>
      <c r="AG57" s="2"/>
      <c r="AH57" s="2">
        <v>0.2</v>
      </c>
      <c r="AJ57" s="3"/>
      <c r="AK57" t="s">
        <v>199</v>
      </c>
    </row>
    <row r="58" spans="1:37" hidden="1" x14ac:dyDescent="0.25">
      <c r="A58" t="s">
        <v>26</v>
      </c>
      <c r="B58" t="s">
        <v>27</v>
      </c>
      <c r="C58" t="s">
        <v>28</v>
      </c>
      <c r="D58" t="s">
        <v>16</v>
      </c>
      <c r="E58" t="s">
        <v>29</v>
      </c>
      <c r="F58" t="s">
        <v>30</v>
      </c>
      <c r="G58" t="s">
        <v>30</v>
      </c>
      <c r="H58" t="s">
        <v>30</v>
      </c>
      <c r="I58" t="s">
        <v>704</v>
      </c>
      <c r="J58">
        <v>15</v>
      </c>
      <c r="K58" t="s">
        <v>629</v>
      </c>
      <c r="L58" t="s">
        <v>703</v>
      </c>
      <c r="M58" t="str">
        <f t="shared" si="9"/>
        <v>Stress</v>
      </c>
      <c r="N58" t="s">
        <v>414</v>
      </c>
      <c r="O58" t="s">
        <v>707</v>
      </c>
      <c r="R58" t="s">
        <v>408</v>
      </c>
      <c r="S58" t="s">
        <v>701</v>
      </c>
      <c r="T58" t="s">
        <v>695</v>
      </c>
      <c r="U58" t="s">
        <v>609</v>
      </c>
      <c r="V58" s="1" t="s">
        <v>774</v>
      </c>
      <c r="W58" s="1">
        <v>1.0300000000000001E-10</v>
      </c>
      <c r="X58" s="1"/>
      <c r="Y58" s="1"/>
      <c r="Z58" s="1"/>
      <c r="AA58" s="1"/>
      <c r="AB58" s="1">
        <v>2.1900000000000001E-8</v>
      </c>
      <c r="AC58" s="1"/>
      <c r="AD58">
        <v>20.260000000000002</v>
      </c>
      <c r="AE58" s="3">
        <v>477.08</v>
      </c>
      <c r="AF58" s="2"/>
      <c r="AG58" s="2"/>
      <c r="AH58" s="2">
        <v>0.19</v>
      </c>
      <c r="AJ58" s="3"/>
      <c r="AK58" t="s">
        <v>199</v>
      </c>
    </row>
    <row r="59" spans="1:37" hidden="1" x14ac:dyDescent="0.25">
      <c r="A59" t="s">
        <v>31</v>
      </c>
      <c r="B59" t="s">
        <v>32</v>
      </c>
      <c r="C59" t="s">
        <v>33</v>
      </c>
      <c r="D59" t="s">
        <v>34</v>
      </c>
      <c r="E59" t="s">
        <v>17</v>
      </c>
      <c r="F59" t="s">
        <v>614</v>
      </c>
      <c r="G59" t="s">
        <v>614</v>
      </c>
      <c r="H59" t="s">
        <v>801</v>
      </c>
      <c r="I59" t="s">
        <v>804</v>
      </c>
      <c r="J59">
        <f>21+10</f>
        <v>31</v>
      </c>
      <c r="K59" t="s">
        <v>35</v>
      </c>
      <c r="L59" t="s">
        <v>36</v>
      </c>
      <c r="M59" t="str">
        <f t="shared" si="9"/>
        <v>Control</v>
      </c>
      <c r="R59" t="s">
        <v>408</v>
      </c>
      <c r="S59" t="s">
        <v>701</v>
      </c>
      <c r="T59" t="s">
        <v>695</v>
      </c>
      <c r="U59" t="s">
        <v>609</v>
      </c>
      <c r="V59" s="1" t="s">
        <v>774</v>
      </c>
      <c r="W59" s="1">
        <f>[13]Gavassi_etal_2020_Fig3b!B2</f>
        <v>1.0453333333333301E-8</v>
      </c>
      <c r="X59" s="2"/>
      <c r="Y59" s="1"/>
      <c r="Z59" s="1"/>
      <c r="AA59" s="1"/>
      <c r="AB59" s="1">
        <f>+W59/(AD59/10000)</f>
        <v>1.8010567424764477E-7</v>
      </c>
      <c r="AC59" s="1"/>
      <c r="AD59">
        <v>580.4</v>
      </c>
      <c r="AE59" s="3"/>
      <c r="AF59" s="2">
        <v>0.21</v>
      </c>
      <c r="AG59" s="2"/>
      <c r="AH59" s="2">
        <v>0.35</v>
      </c>
      <c r="AJ59" s="3"/>
      <c r="AK59" t="s">
        <v>199</v>
      </c>
    </row>
    <row r="60" spans="1:37" hidden="1" x14ac:dyDescent="0.25">
      <c r="A60" t="s">
        <v>31</v>
      </c>
      <c r="B60" t="s">
        <v>32</v>
      </c>
      <c r="C60" t="s">
        <v>33</v>
      </c>
      <c r="D60" t="s">
        <v>34</v>
      </c>
      <c r="E60" t="s">
        <v>17</v>
      </c>
      <c r="F60" t="s">
        <v>614</v>
      </c>
      <c r="G60" t="s">
        <v>614</v>
      </c>
      <c r="H60" t="s">
        <v>801</v>
      </c>
      <c r="I60" t="s">
        <v>804</v>
      </c>
      <c r="J60">
        <f>21+10</f>
        <v>31</v>
      </c>
      <c r="K60" t="s">
        <v>35</v>
      </c>
      <c r="L60" t="s">
        <v>37</v>
      </c>
      <c r="M60" t="str">
        <f t="shared" si="9"/>
        <v>Stress</v>
      </c>
      <c r="R60" t="s">
        <v>408</v>
      </c>
      <c r="S60" t="s">
        <v>701</v>
      </c>
      <c r="T60" t="s">
        <v>695</v>
      </c>
      <c r="U60" t="s">
        <v>609</v>
      </c>
      <c r="V60" s="1" t="s">
        <v>774</v>
      </c>
      <c r="W60" s="1">
        <f>[13]Gavassi_etal_2020_Fig3b!B3</f>
        <v>8.0499999999999993E-9</v>
      </c>
      <c r="Y60" s="1"/>
      <c r="Z60" s="1"/>
      <c r="AA60" s="1"/>
      <c r="AB60" s="1">
        <f>+W60/(AD60/10000)</f>
        <v>2.2435897435897433E-7</v>
      </c>
      <c r="AC60" s="1"/>
      <c r="AD60">
        <v>358.8</v>
      </c>
      <c r="AE60" s="3"/>
      <c r="AF60" s="2">
        <v>0.15</v>
      </c>
      <c r="AG60" s="2"/>
      <c r="AH60" s="2">
        <v>0.45</v>
      </c>
      <c r="AJ60" s="3"/>
      <c r="AK60" t="s">
        <v>199</v>
      </c>
    </row>
    <row r="61" spans="1:37" hidden="1" x14ac:dyDescent="0.25">
      <c r="A61" t="s">
        <v>31</v>
      </c>
      <c r="B61" t="s">
        <v>32</v>
      </c>
      <c r="C61" t="s">
        <v>33</v>
      </c>
      <c r="D61" t="s">
        <v>34</v>
      </c>
      <c r="E61" t="s">
        <v>17</v>
      </c>
      <c r="F61" t="s">
        <v>614</v>
      </c>
      <c r="G61" t="s">
        <v>614</v>
      </c>
      <c r="H61" t="s">
        <v>801</v>
      </c>
      <c r="I61" t="s">
        <v>804</v>
      </c>
      <c r="J61">
        <f>21+10</f>
        <v>31</v>
      </c>
      <c r="K61" t="s">
        <v>35</v>
      </c>
      <c r="L61" t="s">
        <v>38</v>
      </c>
      <c r="M61" t="str">
        <f t="shared" si="9"/>
        <v>Stress</v>
      </c>
      <c r="R61" t="s">
        <v>408</v>
      </c>
      <c r="S61" t="s">
        <v>701</v>
      </c>
      <c r="T61" t="s">
        <v>695</v>
      </c>
      <c r="U61" t="s">
        <v>609</v>
      </c>
      <c r="V61" s="1" t="s">
        <v>774</v>
      </c>
      <c r="W61" s="1">
        <f>[13]Gavassi_etal_2020_Fig3b!B4</f>
        <v>5.2966666666666602E-9</v>
      </c>
      <c r="Y61" s="1"/>
      <c r="Z61" s="1"/>
      <c r="AA61" s="1"/>
      <c r="AB61" s="1">
        <f>+W61/(AD61/10000)</f>
        <v>3.9176528599605475E-7</v>
      </c>
      <c r="AC61" s="1"/>
      <c r="AD61">
        <v>135.19999999999999</v>
      </c>
      <c r="AE61" s="3"/>
      <c r="AF61" s="2">
        <v>0.1</v>
      </c>
      <c r="AG61" s="2"/>
      <c r="AH61" s="2">
        <v>0.49</v>
      </c>
      <c r="AJ61" s="3"/>
      <c r="AK61" t="s">
        <v>199</v>
      </c>
    </row>
    <row r="62" spans="1:37" hidden="1" x14ac:dyDescent="0.25">
      <c r="A62" t="s">
        <v>31</v>
      </c>
      <c r="B62" t="s">
        <v>32</v>
      </c>
      <c r="C62" t="s">
        <v>33</v>
      </c>
      <c r="D62" t="s">
        <v>34</v>
      </c>
      <c r="E62" t="s">
        <v>17</v>
      </c>
      <c r="F62" t="s">
        <v>614</v>
      </c>
      <c r="G62" t="s">
        <v>614</v>
      </c>
      <c r="H62" t="s">
        <v>801</v>
      </c>
      <c r="I62" t="s">
        <v>804</v>
      </c>
      <c r="J62">
        <f>21+10</f>
        <v>31</v>
      </c>
      <c r="K62" t="s">
        <v>35</v>
      </c>
      <c r="L62" t="s">
        <v>39</v>
      </c>
      <c r="M62" t="str">
        <f t="shared" si="9"/>
        <v>Stress</v>
      </c>
      <c r="R62" t="s">
        <v>408</v>
      </c>
      <c r="S62" t="s">
        <v>701</v>
      </c>
      <c r="T62" t="s">
        <v>695</v>
      </c>
      <c r="U62" t="s">
        <v>609</v>
      </c>
      <c r="V62" s="1" t="s">
        <v>774</v>
      </c>
      <c r="W62" s="1">
        <f>[13]Gavassi_etal_2020_Fig3b!B5</f>
        <v>3.0333333333333299E-9</v>
      </c>
      <c r="Y62" s="1"/>
      <c r="Z62" s="1"/>
      <c r="AA62" s="1"/>
      <c r="AB62" s="1">
        <f>+W62/(AD62/10000)</f>
        <v>6.770833333333326E-7</v>
      </c>
      <c r="AC62" s="1"/>
      <c r="AD62">
        <v>44.8</v>
      </c>
      <c r="AE62" s="3"/>
      <c r="AF62" s="2">
        <v>0.04</v>
      </c>
      <c r="AG62" s="2"/>
      <c r="AH62" s="2">
        <v>0.45</v>
      </c>
      <c r="AJ62" s="3"/>
      <c r="AK62" t="s">
        <v>199</v>
      </c>
    </row>
    <row r="63" spans="1:37" hidden="1" x14ac:dyDescent="0.25">
      <c r="A63" t="s">
        <v>40</v>
      </c>
      <c r="B63" t="s">
        <v>41</v>
      </c>
      <c r="C63" t="s">
        <v>42</v>
      </c>
      <c r="D63" t="s">
        <v>43</v>
      </c>
      <c r="E63" t="s">
        <v>17</v>
      </c>
      <c r="F63" t="s">
        <v>613</v>
      </c>
      <c r="G63" t="s">
        <v>613</v>
      </c>
      <c r="H63" t="s">
        <v>613</v>
      </c>
      <c r="I63" t="s">
        <v>804</v>
      </c>
      <c r="J63">
        <f>365+2*30</f>
        <v>425</v>
      </c>
      <c r="K63" t="s">
        <v>421</v>
      </c>
      <c r="L63" t="s">
        <v>36</v>
      </c>
      <c r="M63" t="str">
        <f t="shared" si="9"/>
        <v>Control</v>
      </c>
      <c r="N63" t="s">
        <v>620</v>
      </c>
      <c r="O63" t="s">
        <v>707</v>
      </c>
      <c r="R63" t="s">
        <v>408</v>
      </c>
      <c r="S63" t="s">
        <v>701</v>
      </c>
      <c r="T63" t="s">
        <v>695</v>
      </c>
      <c r="U63" t="s">
        <v>609</v>
      </c>
      <c r="V63" s="1"/>
      <c r="W63" s="1"/>
      <c r="Y63" s="1">
        <f>[14]Dayer_etal_2020_Fig5b!B2</f>
        <v>6.5879265091863103E-9</v>
      </c>
      <c r="Z63" s="1"/>
      <c r="AA63" s="1"/>
      <c r="AC63" s="1"/>
      <c r="AE63" s="3"/>
      <c r="AF63" s="2"/>
      <c r="AG63" s="2"/>
      <c r="AK63" t="s">
        <v>44</v>
      </c>
    </row>
    <row r="64" spans="1:37" hidden="1" x14ac:dyDescent="0.25">
      <c r="A64" t="s">
        <v>40</v>
      </c>
      <c r="B64" t="s">
        <v>41</v>
      </c>
      <c r="C64" t="s">
        <v>42</v>
      </c>
      <c r="D64" t="s">
        <v>43</v>
      </c>
      <c r="E64" t="s">
        <v>17</v>
      </c>
      <c r="F64" t="s">
        <v>613</v>
      </c>
      <c r="G64" t="s">
        <v>613</v>
      </c>
      <c r="H64" t="s">
        <v>613</v>
      </c>
      <c r="I64" t="s">
        <v>804</v>
      </c>
      <c r="J64">
        <f>365+2*30</f>
        <v>425</v>
      </c>
      <c r="K64" t="s">
        <v>421</v>
      </c>
      <c r="L64" t="s">
        <v>48</v>
      </c>
      <c r="M64" t="str">
        <f t="shared" si="9"/>
        <v>Stress</v>
      </c>
      <c r="N64" t="s">
        <v>620</v>
      </c>
      <c r="O64" t="s">
        <v>707</v>
      </c>
      <c r="R64" t="s">
        <v>408</v>
      </c>
      <c r="S64" t="s">
        <v>701</v>
      </c>
      <c r="T64" t="s">
        <v>695</v>
      </c>
      <c r="U64" t="s">
        <v>609</v>
      </c>
      <c r="V64" s="1"/>
      <c r="W64" s="1"/>
      <c r="Y64" s="1">
        <f>[14]Dayer_etal_2020_Fig5b!B3</f>
        <v>1.78477690288713E-9</v>
      </c>
      <c r="Z64" s="1"/>
      <c r="AA64" s="1"/>
      <c r="AC64" s="1"/>
      <c r="AE64" s="3"/>
      <c r="AF64" s="2"/>
      <c r="AG64" s="2"/>
      <c r="AK64" t="s">
        <v>44</v>
      </c>
    </row>
    <row r="65" spans="1:37" hidden="1" x14ac:dyDescent="0.25">
      <c r="A65" t="s">
        <v>40</v>
      </c>
      <c r="B65" t="s">
        <v>41</v>
      </c>
      <c r="C65" t="s">
        <v>42</v>
      </c>
      <c r="D65" t="s">
        <v>43</v>
      </c>
      <c r="E65" t="s">
        <v>17</v>
      </c>
      <c r="F65" t="s">
        <v>613</v>
      </c>
      <c r="G65" t="s">
        <v>613</v>
      </c>
      <c r="H65" t="s">
        <v>613</v>
      </c>
      <c r="I65" t="s">
        <v>804</v>
      </c>
      <c r="J65">
        <f>365+2*30</f>
        <v>425</v>
      </c>
      <c r="K65" t="s">
        <v>421</v>
      </c>
      <c r="L65" t="s">
        <v>36</v>
      </c>
      <c r="M65" t="str">
        <f t="shared" si="9"/>
        <v>Control</v>
      </c>
      <c r="N65" t="s">
        <v>621</v>
      </c>
      <c r="O65" t="s">
        <v>707</v>
      </c>
      <c r="R65" t="s">
        <v>408</v>
      </c>
      <c r="S65" t="s">
        <v>701</v>
      </c>
      <c r="T65" t="s">
        <v>695</v>
      </c>
      <c r="U65" t="s">
        <v>609</v>
      </c>
      <c r="V65" s="1"/>
      <c r="W65" s="1"/>
      <c r="Y65" s="1">
        <f>[14]Dayer_etal_2020_Fig5b!B4</f>
        <v>6.2992125984251801E-10</v>
      </c>
      <c r="Z65" s="1"/>
      <c r="AA65" s="1"/>
      <c r="AC65" s="1"/>
      <c r="AE65" s="3"/>
      <c r="AF65" s="2"/>
      <c r="AG65" s="2"/>
      <c r="AK65" t="s">
        <v>44</v>
      </c>
    </row>
    <row r="66" spans="1:37" hidden="1" x14ac:dyDescent="0.25">
      <c r="A66" t="s">
        <v>40</v>
      </c>
      <c r="B66" t="s">
        <v>41</v>
      </c>
      <c r="C66" t="s">
        <v>42</v>
      </c>
      <c r="D66" t="s">
        <v>43</v>
      </c>
      <c r="E66" t="s">
        <v>17</v>
      </c>
      <c r="F66" t="s">
        <v>613</v>
      </c>
      <c r="G66" t="s">
        <v>613</v>
      </c>
      <c r="H66" t="s">
        <v>613</v>
      </c>
      <c r="I66" t="s">
        <v>804</v>
      </c>
      <c r="J66">
        <f>365+2*30</f>
        <v>425</v>
      </c>
      <c r="K66" t="s">
        <v>421</v>
      </c>
      <c r="L66" t="s">
        <v>48</v>
      </c>
      <c r="M66" t="str">
        <f t="shared" si="9"/>
        <v>Stress</v>
      </c>
      <c r="N66" t="s">
        <v>621</v>
      </c>
      <c r="O66" t="s">
        <v>707</v>
      </c>
      <c r="R66" t="s">
        <v>408</v>
      </c>
      <c r="S66" t="s">
        <v>701</v>
      </c>
      <c r="T66" t="s">
        <v>695</v>
      </c>
      <c r="U66" t="s">
        <v>609</v>
      </c>
      <c r="V66" s="1"/>
      <c r="W66" s="1"/>
      <c r="Y66" s="1">
        <f>[14]Dayer_etal_2020_Fig5b!B5</f>
        <v>1.2335958005249299E-9</v>
      </c>
      <c r="Z66" s="1"/>
      <c r="AA66" s="1"/>
      <c r="AC66" s="1"/>
      <c r="AE66" s="3"/>
      <c r="AF66" s="2"/>
      <c r="AG66" s="2"/>
      <c r="AK66" t="s">
        <v>44</v>
      </c>
    </row>
    <row r="67" spans="1:37" hidden="1" x14ac:dyDescent="0.25">
      <c r="A67" t="s">
        <v>226</v>
      </c>
      <c r="B67" t="s">
        <v>227</v>
      </c>
      <c r="C67" t="s">
        <v>228</v>
      </c>
      <c r="D67" t="s">
        <v>196</v>
      </c>
      <c r="E67" t="s">
        <v>17</v>
      </c>
      <c r="F67" t="s">
        <v>197</v>
      </c>
      <c r="G67" t="s">
        <v>612</v>
      </c>
      <c r="H67" t="s">
        <v>761</v>
      </c>
      <c r="I67" t="s">
        <v>705</v>
      </c>
      <c r="J67">
        <f t="shared" ref="J67:J72" si="10">1*365+4*30+7*7</f>
        <v>534</v>
      </c>
      <c r="K67" t="s">
        <v>624</v>
      </c>
      <c r="L67" t="s">
        <v>36</v>
      </c>
      <c r="M67" t="str">
        <f t="shared" si="9"/>
        <v>Control</v>
      </c>
      <c r="N67">
        <v>15</v>
      </c>
      <c r="O67" t="s">
        <v>707</v>
      </c>
      <c r="R67" t="s">
        <v>408</v>
      </c>
      <c r="S67" t="s">
        <v>701</v>
      </c>
      <c r="T67" t="s">
        <v>695</v>
      </c>
      <c r="U67" t="s">
        <v>609</v>
      </c>
      <c r="V67" s="1" t="s">
        <v>733</v>
      </c>
      <c r="W67" s="1">
        <f t="shared" ref="W67:W72" si="11">+Y67*AF67</f>
        <v>7.8093569400000016E-8</v>
      </c>
      <c r="X67" s="1"/>
      <c r="Y67" s="1">
        <f>'[15]Rodriguez-Gamir_etal_2019_Fig2f'!C2</f>
        <v>9.2200200000000006E-9</v>
      </c>
      <c r="AF67">
        <v>8.4700000000000006</v>
      </c>
      <c r="AK67" t="s">
        <v>44</v>
      </c>
    </row>
    <row r="68" spans="1:37" hidden="1" x14ac:dyDescent="0.25">
      <c r="A68" t="s">
        <v>226</v>
      </c>
      <c r="B68" t="s">
        <v>227</v>
      </c>
      <c r="C68" t="s">
        <v>228</v>
      </c>
      <c r="D68" t="s">
        <v>196</v>
      </c>
      <c r="E68" t="s">
        <v>17</v>
      </c>
      <c r="F68" t="s">
        <v>197</v>
      </c>
      <c r="G68" t="s">
        <v>612</v>
      </c>
      <c r="H68" t="s">
        <v>761</v>
      </c>
      <c r="I68" t="s">
        <v>705</v>
      </c>
      <c r="J68">
        <f t="shared" si="10"/>
        <v>534</v>
      </c>
      <c r="K68" t="s">
        <v>624</v>
      </c>
      <c r="L68" t="s">
        <v>48</v>
      </c>
      <c r="M68" t="str">
        <f t="shared" si="9"/>
        <v>Stress</v>
      </c>
      <c r="N68">
        <v>15</v>
      </c>
      <c r="O68" t="s">
        <v>707</v>
      </c>
      <c r="R68" t="s">
        <v>408</v>
      </c>
      <c r="S68" t="s">
        <v>701</v>
      </c>
      <c r="T68" t="s">
        <v>695</v>
      </c>
      <c r="U68" t="s">
        <v>609</v>
      </c>
      <c r="V68" s="1" t="s">
        <v>733</v>
      </c>
      <c r="W68" s="1">
        <f t="shared" si="11"/>
        <v>4.3247555999999995E-8</v>
      </c>
      <c r="X68" s="1"/>
      <c r="Y68" s="1">
        <f>'[15]Rodriguez-Gamir_etal_2019_Fig2f'!C3</f>
        <v>5.4605499999999997E-9</v>
      </c>
      <c r="AF68">
        <v>7.92</v>
      </c>
      <c r="AK68" t="s">
        <v>44</v>
      </c>
    </row>
    <row r="69" spans="1:37" hidden="1" x14ac:dyDescent="0.25">
      <c r="A69" t="s">
        <v>226</v>
      </c>
      <c r="B69" t="s">
        <v>227</v>
      </c>
      <c r="C69" t="s">
        <v>228</v>
      </c>
      <c r="D69" t="s">
        <v>196</v>
      </c>
      <c r="E69" t="s">
        <v>17</v>
      </c>
      <c r="F69" t="s">
        <v>197</v>
      </c>
      <c r="G69" t="s">
        <v>612</v>
      </c>
      <c r="H69" t="s">
        <v>761</v>
      </c>
      <c r="I69" t="s">
        <v>705</v>
      </c>
      <c r="J69">
        <f t="shared" si="10"/>
        <v>534</v>
      </c>
      <c r="K69" t="s">
        <v>624</v>
      </c>
      <c r="L69" t="s">
        <v>36</v>
      </c>
      <c r="M69" t="str">
        <f t="shared" si="9"/>
        <v>Control</v>
      </c>
      <c r="N69">
        <v>44</v>
      </c>
      <c r="O69" t="s">
        <v>707</v>
      </c>
      <c r="R69" t="s">
        <v>408</v>
      </c>
      <c r="S69" t="s">
        <v>701</v>
      </c>
      <c r="T69" t="s">
        <v>695</v>
      </c>
      <c r="U69" t="s">
        <v>609</v>
      </c>
      <c r="V69" s="1" t="s">
        <v>733</v>
      </c>
      <c r="W69" s="1">
        <f t="shared" si="11"/>
        <v>4.7638046400000001E-8</v>
      </c>
      <c r="X69" s="1"/>
      <c r="Y69" s="1">
        <f>'[15]Rodriguez-Gamir_etal_2019_Fig2f'!C4</f>
        <v>5.9696799999999996E-9</v>
      </c>
      <c r="AF69">
        <v>7.98</v>
      </c>
      <c r="AK69" t="s">
        <v>44</v>
      </c>
    </row>
    <row r="70" spans="1:37" hidden="1" x14ac:dyDescent="0.25">
      <c r="A70" t="s">
        <v>226</v>
      </c>
      <c r="B70" t="s">
        <v>227</v>
      </c>
      <c r="C70" t="s">
        <v>228</v>
      </c>
      <c r="D70" t="s">
        <v>196</v>
      </c>
      <c r="E70" t="s">
        <v>17</v>
      </c>
      <c r="F70" t="s">
        <v>197</v>
      </c>
      <c r="G70" t="s">
        <v>612</v>
      </c>
      <c r="H70" t="s">
        <v>761</v>
      </c>
      <c r="I70" t="s">
        <v>705</v>
      </c>
      <c r="J70">
        <f t="shared" si="10"/>
        <v>534</v>
      </c>
      <c r="K70" t="s">
        <v>624</v>
      </c>
      <c r="L70" t="s">
        <v>48</v>
      </c>
      <c r="M70" t="str">
        <f t="shared" si="9"/>
        <v>Stress</v>
      </c>
      <c r="N70">
        <v>44</v>
      </c>
      <c r="O70" t="s">
        <v>707</v>
      </c>
      <c r="R70" t="s">
        <v>408</v>
      </c>
      <c r="S70" t="s">
        <v>701</v>
      </c>
      <c r="T70" t="s">
        <v>695</v>
      </c>
      <c r="U70" t="s">
        <v>609</v>
      </c>
      <c r="V70" s="1" t="s">
        <v>733</v>
      </c>
      <c r="W70" s="1">
        <f t="shared" si="11"/>
        <v>3.0384338600000001E-8</v>
      </c>
      <c r="X70" s="1"/>
      <c r="Y70" s="1">
        <f>'[15]Rodriguez-Gamir_etal_2019_Fig2f'!C5</f>
        <v>3.9822200000000003E-9</v>
      </c>
      <c r="AF70">
        <v>7.63</v>
      </c>
      <c r="AK70" t="s">
        <v>44</v>
      </c>
    </row>
    <row r="71" spans="1:37" hidden="1" x14ac:dyDescent="0.25">
      <c r="A71" t="s">
        <v>226</v>
      </c>
      <c r="B71" t="s">
        <v>227</v>
      </c>
      <c r="C71" t="s">
        <v>228</v>
      </c>
      <c r="D71" t="s">
        <v>196</v>
      </c>
      <c r="E71" t="s">
        <v>17</v>
      </c>
      <c r="F71" t="s">
        <v>197</v>
      </c>
      <c r="G71" t="s">
        <v>612</v>
      </c>
      <c r="H71" t="s">
        <v>761</v>
      </c>
      <c r="I71" t="s">
        <v>705</v>
      </c>
      <c r="J71">
        <f t="shared" si="10"/>
        <v>534</v>
      </c>
      <c r="K71" t="s">
        <v>624</v>
      </c>
      <c r="L71" t="s">
        <v>36</v>
      </c>
      <c r="M71" t="str">
        <f t="shared" si="9"/>
        <v>Control</v>
      </c>
      <c r="N71">
        <v>48</v>
      </c>
      <c r="O71" t="s">
        <v>707</v>
      </c>
      <c r="R71" t="s">
        <v>408</v>
      </c>
      <c r="S71" t="s">
        <v>701</v>
      </c>
      <c r="T71" t="s">
        <v>695</v>
      </c>
      <c r="U71" t="s">
        <v>609</v>
      </c>
      <c r="V71" s="1" t="s">
        <v>733</v>
      </c>
      <c r="W71" s="1">
        <f t="shared" si="11"/>
        <v>6.1322048E-8</v>
      </c>
      <c r="X71" s="1"/>
      <c r="Y71" s="1">
        <f>'[15]Rodriguez-Gamir_etal_2019_Fig2f'!C6</f>
        <v>6.6654400000000001E-9</v>
      </c>
      <c r="AF71">
        <v>9.1999999999999993</v>
      </c>
      <c r="AK71" t="s">
        <v>44</v>
      </c>
    </row>
    <row r="72" spans="1:37" hidden="1" x14ac:dyDescent="0.25">
      <c r="A72" t="s">
        <v>226</v>
      </c>
      <c r="B72" t="s">
        <v>227</v>
      </c>
      <c r="C72" t="s">
        <v>228</v>
      </c>
      <c r="D72" t="s">
        <v>196</v>
      </c>
      <c r="E72" t="s">
        <v>17</v>
      </c>
      <c r="F72" t="s">
        <v>197</v>
      </c>
      <c r="G72" t="s">
        <v>612</v>
      </c>
      <c r="H72" t="s">
        <v>761</v>
      </c>
      <c r="I72" t="s">
        <v>705</v>
      </c>
      <c r="J72">
        <f t="shared" si="10"/>
        <v>534</v>
      </c>
      <c r="K72" t="s">
        <v>624</v>
      </c>
      <c r="L72" t="s">
        <v>48</v>
      </c>
      <c r="M72" t="str">
        <f t="shared" si="9"/>
        <v>Stress</v>
      </c>
      <c r="N72">
        <v>48</v>
      </c>
      <c r="O72" t="s">
        <v>707</v>
      </c>
      <c r="R72" t="s">
        <v>408</v>
      </c>
      <c r="S72" t="s">
        <v>701</v>
      </c>
      <c r="T72" t="s">
        <v>695</v>
      </c>
      <c r="U72" t="s">
        <v>609</v>
      </c>
      <c r="V72" s="1" t="s">
        <v>733</v>
      </c>
      <c r="W72" s="1">
        <f t="shared" si="11"/>
        <v>3.0282920399999995E-8</v>
      </c>
      <c r="X72" s="1"/>
      <c r="Y72" s="1">
        <f>'[15]Rodriguez-Gamir_etal_2019_Fig2f'!C7</f>
        <v>3.5922799999999999E-9</v>
      </c>
      <c r="AF72">
        <v>8.43</v>
      </c>
      <c r="AK72" t="s">
        <v>44</v>
      </c>
    </row>
    <row r="73" spans="1:37" hidden="1" x14ac:dyDescent="0.25">
      <c r="A73" t="s">
        <v>229</v>
      </c>
      <c r="B73" t="s">
        <v>53</v>
      </c>
      <c r="C73" t="s">
        <v>54</v>
      </c>
      <c r="D73" t="s">
        <v>16</v>
      </c>
      <c r="E73" t="s">
        <v>17</v>
      </c>
      <c r="F73" t="s">
        <v>18</v>
      </c>
      <c r="G73" t="s">
        <v>18</v>
      </c>
      <c r="H73" t="s">
        <v>18</v>
      </c>
      <c r="I73" t="s">
        <v>704</v>
      </c>
      <c r="J73">
        <f>6*7</f>
        <v>42</v>
      </c>
      <c r="K73" s="6" t="s">
        <v>402</v>
      </c>
      <c r="L73" t="s">
        <v>36</v>
      </c>
      <c r="M73" t="str">
        <f t="shared" si="9"/>
        <v>Control</v>
      </c>
      <c r="R73" t="s">
        <v>408</v>
      </c>
      <c r="S73" t="s">
        <v>701</v>
      </c>
      <c r="T73" t="s">
        <v>695</v>
      </c>
      <c r="U73" t="s">
        <v>609</v>
      </c>
      <c r="V73" s="1" t="s">
        <v>733</v>
      </c>
      <c r="W73" s="1">
        <f t="shared" ref="W73:W75" si="12">+AB73*AD73/10000</f>
        <v>4.1202405874437409E-8</v>
      </c>
      <c r="X73" s="1"/>
      <c r="Z73" s="1"/>
      <c r="AA73" s="1"/>
      <c r="AB73" s="1">
        <f>[16]Ding_etal_2019_Fig4!C2</f>
        <v>4.4785223776562402E-6</v>
      </c>
      <c r="AD73">
        <v>92</v>
      </c>
      <c r="AE73">
        <v>1013</v>
      </c>
      <c r="AH73" s="2">
        <v>0.28000000000000003</v>
      </c>
      <c r="AJ73" s="3"/>
      <c r="AK73" t="s">
        <v>44</v>
      </c>
    </row>
    <row r="74" spans="1:37" hidden="1" x14ac:dyDescent="0.25">
      <c r="A74" t="s">
        <v>229</v>
      </c>
      <c r="B74" t="s">
        <v>53</v>
      </c>
      <c r="C74" t="s">
        <v>54</v>
      </c>
      <c r="D74" t="s">
        <v>16</v>
      </c>
      <c r="E74" t="s">
        <v>17</v>
      </c>
      <c r="F74" t="s">
        <v>18</v>
      </c>
      <c r="G74" t="s">
        <v>18</v>
      </c>
      <c r="H74" t="s">
        <v>18</v>
      </c>
      <c r="I74" t="s">
        <v>704</v>
      </c>
      <c r="J74">
        <f>6*7</f>
        <v>42</v>
      </c>
      <c r="K74" s="6" t="s">
        <v>402</v>
      </c>
      <c r="L74" t="s">
        <v>703</v>
      </c>
      <c r="M74" t="str">
        <f t="shared" si="9"/>
        <v>Stress</v>
      </c>
      <c r="R74" t="s">
        <v>408</v>
      </c>
      <c r="S74" t="s">
        <v>701</v>
      </c>
      <c r="T74" t="s">
        <v>695</v>
      </c>
      <c r="U74" t="s">
        <v>609</v>
      </c>
      <c r="V74" s="1" t="s">
        <v>733</v>
      </c>
      <c r="W74" s="1">
        <f t="shared" si="12"/>
        <v>5.5265009655253895E-9</v>
      </c>
      <c r="X74" s="1"/>
      <c r="Z74" s="1"/>
      <c r="AA74" s="1"/>
      <c r="AB74" s="1">
        <f>[16]Ding_etal_2019_Fig4!C3</f>
        <v>8.6351577586334206E-7</v>
      </c>
      <c r="AD74">
        <v>64</v>
      </c>
      <c r="AE74">
        <v>706</v>
      </c>
      <c r="AH74" s="2">
        <v>0.28999999999999998</v>
      </c>
      <c r="AJ74" s="3"/>
      <c r="AK74" t="s">
        <v>44</v>
      </c>
    </row>
    <row r="75" spans="1:37" hidden="1" x14ac:dyDescent="0.25">
      <c r="A75" t="s">
        <v>229</v>
      </c>
      <c r="B75" t="s">
        <v>53</v>
      </c>
      <c r="C75" t="s">
        <v>54</v>
      </c>
      <c r="D75" t="s">
        <v>16</v>
      </c>
      <c r="E75" t="s">
        <v>17</v>
      </c>
      <c r="F75" t="s">
        <v>18</v>
      </c>
      <c r="G75" t="s">
        <v>18</v>
      </c>
      <c r="H75" t="s">
        <v>18</v>
      </c>
      <c r="I75" t="s">
        <v>704</v>
      </c>
      <c r="J75">
        <f>6*7</f>
        <v>42</v>
      </c>
      <c r="K75" s="6" t="s">
        <v>402</v>
      </c>
      <c r="L75" t="s">
        <v>703</v>
      </c>
      <c r="M75" t="str">
        <f t="shared" si="9"/>
        <v>Stress</v>
      </c>
      <c r="R75" t="s">
        <v>408</v>
      </c>
      <c r="S75" t="s">
        <v>701</v>
      </c>
      <c r="T75" t="s">
        <v>695</v>
      </c>
      <c r="U75" t="s">
        <v>609</v>
      </c>
      <c r="V75" s="1" t="s">
        <v>733</v>
      </c>
      <c r="W75" s="1">
        <f t="shared" si="12"/>
        <v>5.8810607512355988E-9</v>
      </c>
      <c r="X75" s="1"/>
      <c r="Z75" s="1"/>
      <c r="AA75" s="1"/>
      <c r="AB75" s="1">
        <f>[16]Ding_etal_2019_Fig4!C4</f>
        <v>7.9473793935616197E-7</v>
      </c>
      <c r="AD75">
        <v>74</v>
      </c>
      <c r="AE75">
        <v>835</v>
      </c>
      <c r="AH75" s="2">
        <v>0.28000000000000003</v>
      </c>
      <c r="AJ75" s="3"/>
      <c r="AK75" t="s">
        <v>44</v>
      </c>
    </row>
    <row r="76" spans="1:37" hidden="1" x14ac:dyDescent="0.25">
      <c r="A76" t="s">
        <v>230</v>
      </c>
      <c r="B76" t="s">
        <v>231</v>
      </c>
      <c r="C76" t="s">
        <v>228</v>
      </c>
      <c r="D76" t="s">
        <v>196</v>
      </c>
      <c r="E76" t="s">
        <v>17</v>
      </c>
      <c r="F76" t="s">
        <v>197</v>
      </c>
      <c r="G76" t="s">
        <v>612</v>
      </c>
      <c r="H76" t="s">
        <v>761</v>
      </c>
      <c r="I76" t="s">
        <v>705</v>
      </c>
      <c r="J76">
        <f t="shared" ref="J76:J81" si="13">(1+3+9+4+3)*7</f>
        <v>140</v>
      </c>
      <c r="K76" s="6" t="s">
        <v>749</v>
      </c>
      <c r="L76" t="s">
        <v>417</v>
      </c>
      <c r="M76" t="s">
        <v>707</v>
      </c>
      <c r="N76" t="s">
        <v>415</v>
      </c>
      <c r="O76" t="s">
        <v>707</v>
      </c>
      <c r="R76" t="s">
        <v>408</v>
      </c>
      <c r="S76" t="s">
        <v>701</v>
      </c>
      <c r="T76" t="s">
        <v>695</v>
      </c>
      <c r="U76" t="s">
        <v>609</v>
      </c>
      <c r="V76" s="1" t="s">
        <v>774</v>
      </c>
      <c r="W76" s="1">
        <v>8.6999999999999999E-10</v>
      </c>
      <c r="X76" s="1"/>
      <c r="AE76" s="7"/>
      <c r="AK76" t="s">
        <v>44</v>
      </c>
    </row>
    <row r="77" spans="1:37" hidden="1" x14ac:dyDescent="0.25">
      <c r="A77" t="s">
        <v>230</v>
      </c>
      <c r="B77" t="s">
        <v>231</v>
      </c>
      <c r="C77" t="s">
        <v>228</v>
      </c>
      <c r="D77" t="s">
        <v>196</v>
      </c>
      <c r="E77" t="s">
        <v>17</v>
      </c>
      <c r="F77" t="s">
        <v>197</v>
      </c>
      <c r="G77" t="s">
        <v>612</v>
      </c>
      <c r="H77" t="s">
        <v>761</v>
      </c>
      <c r="I77" t="s">
        <v>705</v>
      </c>
      <c r="J77">
        <f t="shared" si="13"/>
        <v>140</v>
      </c>
      <c r="K77" s="6" t="s">
        <v>749</v>
      </c>
      <c r="L77" t="s">
        <v>417</v>
      </c>
      <c r="M77" t="s">
        <v>707</v>
      </c>
      <c r="N77" t="s">
        <v>416</v>
      </c>
      <c r="O77" t="s">
        <v>707</v>
      </c>
      <c r="R77" t="s">
        <v>408</v>
      </c>
      <c r="S77" t="s">
        <v>701</v>
      </c>
      <c r="T77" t="s">
        <v>695</v>
      </c>
      <c r="U77" t="s">
        <v>609</v>
      </c>
      <c r="V77" s="1" t="s">
        <v>774</v>
      </c>
      <c r="W77" s="1">
        <v>6.9999999999999996E-10</v>
      </c>
      <c r="X77" s="1"/>
      <c r="AE77" s="7"/>
      <c r="AK77" t="s">
        <v>44</v>
      </c>
    </row>
    <row r="78" spans="1:37" hidden="1" x14ac:dyDescent="0.25">
      <c r="A78" t="s">
        <v>230</v>
      </c>
      <c r="B78" t="s">
        <v>231</v>
      </c>
      <c r="C78" t="s">
        <v>228</v>
      </c>
      <c r="D78" t="s">
        <v>196</v>
      </c>
      <c r="E78" t="s">
        <v>17</v>
      </c>
      <c r="F78" t="s">
        <v>197</v>
      </c>
      <c r="G78" t="s">
        <v>612</v>
      </c>
      <c r="H78" t="s">
        <v>761</v>
      </c>
      <c r="I78" t="s">
        <v>705</v>
      </c>
      <c r="J78">
        <f t="shared" si="13"/>
        <v>140</v>
      </c>
      <c r="K78" s="6" t="s">
        <v>749</v>
      </c>
      <c r="L78" t="s">
        <v>417</v>
      </c>
      <c r="M78" t="s">
        <v>707</v>
      </c>
      <c r="N78" t="s">
        <v>210</v>
      </c>
      <c r="O78" t="s">
        <v>707</v>
      </c>
      <c r="R78" t="s">
        <v>408</v>
      </c>
      <c r="S78" t="s">
        <v>701</v>
      </c>
      <c r="T78" t="s">
        <v>695</v>
      </c>
      <c r="U78" t="s">
        <v>609</v>
      </c>
      <c r="V78" s="1" t="s">
        <v>774</v>
      </c>
      <c r="W78" s="1">
        <v>1.3200000000000002E-9</v>
      </c>
      <c r="X78" s="1"/>
      <c r="AE78" s="7"/>
      <c r="AK78" t="s">
        <v>44</v>
      </c>
    </row>
    <row r="79" spans="1:37" hidden="1" x14ac:dyDescent="0.25">
      <c r="A79" t="s">
        <v>230</v>
      </c>
      <c r="B79" t="s">
        <v>231</v>
      </c>
      <c r="C79" t="s">
        <v>228</v>
      </c>
      <c r="D79" t="s">
        <v>196</v>
      </c>
      <c r="E79" t="s">
        <v>17</v>
      </c>
      <c r="F79" t="s">
        <v>197</v>
      </c>
      <c r="G79" t="s">
        <v>612</v>
      </c>
      <c r="H79" t="s">
        <v>761</v>
      </c>
      <c r="I79" t="s">
        <v>705</v>
      </c>
      <c r="J79">
        <f t="shared" si="13"/>
        <v>140</v>
      </c>
      <c r="K79" s="6" t="s">
        <v>749</v>
      </c>
      <c r="L79" t="s">
        <v>418</v>
      </c>
      <c r="M79" t="s">
        <v>707</v>
      </c>
      <c r="N79" t="s">
        <v>415</v>
      </c>
      <c r="O79" t="s">
        <v>707</v>
      </c>
      <c r="R79" t="s">
        <v>408</v>
      </c>
      <c r="S79" t="s">
        <v>701</v>
      </c>
      <c r="T79" t="s">
        <v>695</v>
      </c>
      <c r="U79" t="s">
        <v>609</v>
      </c>
      <c r="V79" s="1" t="s">
        <v>774</v>
      </c>
      <c r="W79" s="1">
        <v>4.3000000000000001E-10</v>
      </c>
      <c r="X79" s="1"/>
      <c r="AK79" t="s">
        <v>44</v>
      </c>
    </row>
    <row r="80" spans="1:37" hidden="1" x14ac:dyDescent="0.25">
      <c r="A80" t="s">
        <v>230</v>
      </c>
      <c r="B80" t="s">
        <v>231</v>
      </c>
      <c r="C80" t="s">
        <v>228</v>
      </c>
      <c r="D80" t="s">
        <v>196</v>
      </c>
      <c r="E80" t="s">
        <v>17</v>
      </c>
      <c r="F80" t="s">
        <v>197</v>
      </c>
      <c r="G80" t="s">
        <v>612</v>
      </c>
      <c r="H80" t="s">
        <v>761</v>
      </c>
      <c r="I80" t="s">
        <v>705</v>
      </c>
      <c r="J80">
        <f t="shared" si="13"/>
        <v>140</v>
      </c>
      <c r="K80" s="6" t="s">
        <v>749</v>
      </c>
      <c r="L80" t="s">
        <v>418</v>
      </c>
      <c r="M80" t="s">
        <v>707</v>
      </c>
      <c r="N80" t="s">
        <v>416</v>
      </c>
      <c r="O80" t="s">
        <v>707</v>
      </c>
      <c r="R80" t="s">
        <v>408</v>
      </c>
      <c r="S80" t="s">
        <v>701</v>
      </c>
      <c r="T80" t="s">
        <v>695</v>
      </c>
      <c r="U80" t="s">
        <v>609</v>
      </c>
      <c r="V80" s="1" t="s">
        <v>774</v>
      </c>
      <c r="W80" s="1">
        <v>7.1000000000000003E-10</v>
      </c>
      <c r="X80" s="1"/>
      <c r="AK80" t="s">
        <v>44</v>
      </c>
    </row>
    <row r="81" spans="1:37" hidden="1" x14ac:dyDescent="0.25">
      <c r="A81" t="s">
        <v>230</v>
      </c>
      <c r="B81" t="s">
        <v>231</v>
      </c>
      <c r="C81" t="s">
        <v>228</v>
      </c>
      <c r="D81" t="s">
        <v>196</v>
      </c>
      <c r="E81" t="s">
        <v>17</v>
      </c>
      <c r="F81" t="s">
        <v>197</v>
      </c>
      <c r="G81" t="s">
        <v>612</v>
      </c>
      <c r="H81" t="s">
        <v>761</v>
      </c>
      <c r="I81" t="s">
        <v>705</v>
      </c>
      <c r="J81">
        <f t="shared" si="13"/>
        <v>140</v>
      </c>
      <c r="K81" s="6" t="s">
        <v>749</v>
      </c>
      <c r="L81" t="s">
        <v>418</v>
      </c>
      <c r="M81" t="s">
        <v>707</v>
      </c>
      <c r="N81" t="s">
        <v>210</v>
      </c>
      <c r="O81" t="s">
        <v>707</v>
      </c>
      <c r="R81" t="s">
        <v>408</v>
      </c>
      <c r="S81" t="s">
        <v>701</v>
      </c>
      <c r="T81" t="s">
        <v>695</v>
      </c>
      <c r="U81" t="s">
        <v>609</v>
      </c>
      <c r="V81" s="1" t="s">
        <v>774</v>
      </c>
      <c r="W81" s="1">
        <v>1.07E-9</v>
      </c>
      <c r="X81" s="1"/>
      <c r="AK81" t="s">
        <v>44</v>
      </c>
    </row>
    <row r="82" spans="1:37" hidden="1" x14ac:dyDescent="0.25">
      <c r="A82" t="s">
        <v>232</v>
      </c>
      <c r="B82" t="s">
        <v>233</v>
      </c>
      <c r="C82" t="s">
        <v>234</v>
      </c>
      <c r="D82" t="s">
        <v>149</v>
      </c>
      <c r="E82" t="s">
        <v>17</v>
      </c>
      <c r="F82" t="s">
        <v>69</v>
      </c>
      <c r="G82" t="s">
        <v>763</v>
      </c>
      <c r="H82" t="s">
        <v>760</v>
      </c>
      <c r="I82" t="s">
        <v>705</v>
      </c>
      <c r="J82">
        <f t="shared" ref="J82:J95" si="14">+(3*2)*30</f>
        <v>180</v>
      </c>
      <c r="K82" t="s">
        <v>624</v>
      </c>
      <c r="L82" t="s">
        <v>36</v>
      </c>
      <c r="M82" t="str">
        <f t="shared" ref="M82:M107" si="15">+IF(L82 = "Control", "Control", "Stress")</f>
        <v>Control</v>
      </c>
      <c r="N82" t="s">
        <v>630</v>
      </c>
      <c r="O82" t="s">
        <v>707</v>
      </c>
      <c r="R82" t="s">
        <v>408</v>
      </c>
      <c r="S82" t="s">
        <v>701</v>
      </c>
      <c r="T82" t="s">
        <v>695</v>
      </c>
      <c r="U82" t="s">
        <v>609</v>
      </c>
      <c r="V82" s="1"/>
      <c r="W82" s="1"/>
      <c r="X82" s="1"/>
      <c r="AB82" s="1">
        <f>[17]Geng_etal_2018_Fig3!C2</f>
        <v>6.3847223127335698E-8</v>
      </c>
      <c r="AF82">
        <f>[18]Geng_etal_2018_Fig2c!B2</f>
        <v>5.0299003796142898</v>
      </c>
      <c r="AK82" t="s">
        <v>44</v>
      </c>
    </row>
    <row r="83" spans="1:37" hidden="1" x14ac:dyDescent="0.25">
      <c r="A83" t="s">
        <v>232</v>
      </c>
      <c r="B83" t="s">
        <v>233</v>
      </c>
      <c r="C83" t="s">
        <v>234</v>
      </c>
      <c r="D83" t="s">
        <v>149</v>
      </c>
      <c r="E83" t="s">
        <v>17</v>
      </c>
      <c r="F83" t="s">
        <v>69</v>
      </c>
      <c r="G83" t="s">
        <v>763</v>
      </c>
      <c r="H83" t="s">
        <v>760</v>
      </c>
      <c r="I83" t="s">
        <v>705</v>
      </c>
      <c r="J83">
        <f t="shared" si="14"/>
        <v>180</v>
      </c>
      <c r="K83" t="s">
        <v>624</v>
      </c>
      <c r="L83" t="s">
        <v>36</v>
      </c>
      <c r="M83" t="str">
        <f t="shared" si="15"/>
        <v>Control</v>
      </c>
      <c r="N83" t="s">
        <v>631</v>
      </c>
      <c r="O83" t="s">
        <v>707</v>
      </c>
      <c r="R83" t="s">
        <v>408</v>
      </c>
      <c r="S83" t="s">
        <v>701</v>
      </c>
      <c r="T83" t="s">
        <v>695</v>
      </c>
      <c r="U83" t="s">
        <v>609</v>
      </c>
      <c r="V83" s="1"/>
      <c r="W83" s="1"/>
      <c r="X83" s="1"/>
      <c r="AB83" s="1">
        <f>[17]Geng_etal_2018_Fig3!C3</f>
        <v>3.1573358116128603E-9</v>
      </c>
      <c r="AF83">
        <f>[18]Geng_etal_2018_Fig2c!B3</f>
        <v>1.7873745019791001</v>
      </c>
      <c r="AK83" t="s">
        <v>44</v>
      </c>
    </row>
    <row r="84" spans="1:37" hidden="1" x14ac:dyDescent="0.25">
      <c r="A84" t="s">
        <v>232</v>
      </c>
      <c r="B84" t="s">
        <v>233</v>
      </c>
      <c r="C84" t="s">
        <v>234</v>
      </c>
      <c r="D84" t="s">
        <v>149</v>
      </c>
      <c r="E84" t="s">
        <v>17</v>
      </c>
      <c r="F84" t="s">
        <v>69</v>
      </c>
      <c r="G84" t="s">
        <v>763</v>
      </c>
      <c r="H84" t="s">
        <v>760</v>
      </c>
      <c r="I84" t="s">
        <v>705</v>
      </c>
      <c r="J84">
        <f t="shared" si="14"/>
        <v>180</v>
      </c>
      <c r="K84" t="s">
        <v>624</v>
      </c>
      <c r="L84" t="s">
        <v>36</v>
      </c>
      <c r="M84" t="str">
        <f t="shared" si="15"/>
        <v>Control</v>
      </c>
      <c r="N84" t="s">
        <v>633</v>
      </c>
      <c r="O84" t="s">
        <v>707</v>
      </c>
      <c r="R84" t="s">
        <v>408</v>
      </c>
      <c r="S84" t="s">
        <v>701</v>
      </c>
      <c r="T84" t="s">
        <v>695</v>
      </c>
      <c r="U84" t="s">
        <v>609</v>
      </c>
      <c r="V84" s="1"/>
      <c r="W84" s="1"/>
      <c r="X84" s="1"/>
      <c r="AB84" s="1">
        <f>[17]Geng_etal_2018_Fig3!C4</f>
        <v>3.2781292766613003E-9</v>
      </c>
      <c r="AF84">
        <f>[18]Geng_etal_2018_Fig2c!B4</f>
        <v>1.20198008889004</v>
      </c>
      <c r="AK84" t="s">
        <v>44</v>
      </c>
    </row>
    <row r="85" spans="1:37" hidden="1" x14ac:dyDescent="0.25">
      <c r="A85" t="s">
        <v>232</v>
      </c>
      <c r="B85" t="s">
        <v>233</v>
      </c>
      <c r="C85" t="s">
        <v>234</v>
      </c>
      <c r="D85" t="s">
        <v>149</v>
      </c>
      <c r="E85" t="s">
        <v>17</v>
      </c>
      <c r="F85" t="s">
        <v>69</v>
      </c>
      <c r="G85" t="s">
        <v>763</v>
      </c>
      <c r="H85" t="s">
        <v>760</v>
      </c>
      <c r="I85" t="s">
        <v>705</v>
      </c>
      <c r="J85">
        <f t="shared" si="14"/>
        <v>180</v>
      </c>
      <c r="K85" t="s">
        <v>624</v>
      </c>
      <c r="L85" t="s">
        <v>36</v>
      </c>
      <c r="M85" t="str">
        <f t="shared" si="15"/>
        <v>Control</v>
      </c>
      <c r="N85" t="s">
        <v>634</v>
      </c>
      <c r="O85" t="s">
        <v>707</v>
      </c>
      <c r="R85" t="s">
        <v>408</v>
      </c>
      <c r="S85" t="s">
        <v>701</v>
      </c>
      <c r="T85" t="s">
        <v>695</v>
      </c>
      <c r="U85" t="s">
        <v>609</v>
      </c>
      <c r="V85" s="1"/>
      <c r="W85" s="1"/>
      <c r="X85" s="1"/>
      <c r="AB85" s="1">
        <f>[17]Geng_etal_2018_Fig3!C5</f>
        <v>9.1953611592001699E-8</v>
      </c>
      <c r="AF85">
        <f>[18]Geng_etal_2018_Fig2c!B5</f>
        <v>8.6433936600662093</v>
      </c>
      <c r="AK85" t="s">
        <v>44</v>
      </c>
    </row>
    <row r="86" spans="1:37" hidden="1" x14ac:dyDescent="0.25">
      <c r="A86" t="s">
        <v>232</v>
      </c>
      <c r="B86" t="s">
        <v>233</v>
      </c>
      <c r="C86" t="s">
        <v>234</v>
      </c>
      <c r="D86" t="s">
        <v>149</v>
      </c>
      <c r="E86" t="s">
        <v>17</v>
      </c>
      <c r="F86" t="s">
        <v>69</v>
      </c>
      <c r="G86" t="s">
        <v>763</v>
      </c>
      <c r="H86" t="s">
        <v>760</v>
      </c>
      <c r="I86" t="s">
        <v>705</v>
      </c>
      <c r="J86">
        <f t="shared" si="14"/>
        <v>180</v>
      </c>
      <c r="K86" t="s">
        <v>624</v>
      </c>
      <c r="L86" t="s">
        <v>36</v>
      </c>
      <c r="M86" t="str">
        <f t="shared" si="15"/>
        <v>Control</v>
      </c>
      <c r="N86" t="s">
        <v>632</v>
      </c>
      <c r="O86" t="s">
        <v>707</v>
      </c>
      <c r="R86" t="s">
        <v>408</v>
      </c>
      <c r="S86" t="s">
        <v>701</v>
      </c>
      <c r="T86" t="s">
        <v>695</v>
      </c>
      <c r="U86" t="s">
        <v>609</v>
      </c>
      <c r="V86" s="1"/>
      <c r="W86" s="1"/>
      <c r="X86" s="1"/>
      <c r="AB86" s="1">
        <f>[17]Geng_etal_2018_Fig3!C6</f>
        <v>9.3376227215929813E-8</v>
      </c>
      <c r="AF86">
        <f>[18]Geng_etal_2018_Fig2c!B6</f>
        <v>8.5002609645639104</v>
      </c>
      <c r="AK86" t="s">
        <v>44</v>
      </c>
    </row>
    <row r="87" spans="1:37" hidden="1" x14ac:dyDescent="0.25">
      <c r="A87" t="s">
        <v>232</v>
      </c>
      <c r="B87" t="s">
        <v>233</v>
      </c>
      <c r="C87" t="s">
        <v>234</v>
      </c>
      <c r="D87" t="s">
        <v>149</v>
      </c>
      <c r="E87" t="s">
        <v>17</v>
      </c>
      <c r="F87" t="s">
        <v>69</v>
      </c>
      <c r="G87" t="s">
        <v>763</v>
      </c>
      <c r="H87" t="s">
        <v>760</v>
      </c>
      <c r="I87" t="s">
        <v>705</v>
      </c>
      <c r="J87">
        <f t="shared" si="14"/>
        <v>180</v>
      </c>
      <c r="K87" t="s">
        <v>624</v>
      </c>
      <c r="L87" t="s">
        <v>36</v>
      </c>
      <c r="M87" t="str">
        <f t="shared" si="15"/>
        <v>Control</v>
      </c>
      <c r="N87" t="s">
        <v>635</v>
      </c>
      <c r="O87" t="s">
        <v>707</v>
      </c>
      <c r="R87" t="s">
        <v>408</v>
      </c>
      <c r="S87" t="s">
        <v>701</v>
      </c>
      <c r="T87" t="s">
        <v>695</v>
      </c>
      <c r="U87" t="s">
        <v>609</v>
      </c>
      <c r="V87" s="1"/>
      <c r="W87" s="1"/>
      <c r="AB87" s="1">
        <f>[17]Geng_etal_2018_Fig3!C7</f>
        <v>1.06074297387889E-7</v>
      </c>
      <c r="AF87">
        <f>[18]Geng_etal_2018_Fig2c!B7</f>
        <v>9.1968152597812995</v>
      </c>
      <c r="AK87" t="s">
        <v>44</v>
      </c>
    </row>
    <row r="88" spans="1:37" hidden="1" x14ac:dyDescent="0.25">
      <c r="A88" t="s">
        <v>232</v>
      </c>
      <c r="B88" t="s">
        <v>233</v>
      </c>
      <c r="C88" t="s">
        <v>234</v>
      </c>
      <c r="D88" t="s">
        <v>149</v>
      </c>
      <c r="E88" t="s">
        <v>17</v>
      </c>
      <c r="F88" t="s">
        <v>69</v>
      </c>
      <c r="G88" t="s">
        <v>763</v>
      </c>
      <c r="H88" t="s">
        <v>760</v>
      </c>
      <c r="I88" t="s">
        <v>705</v>
      </c>
      <c r="J88">
        <f t="shared" si="14"/>
        <v>180</v>
      </c>
      <c r="K88" t="s">
        <v>624</v>
      </c>
      <c r="L88" t="s">
        <v>36</v>
      </c>
      <c r="M88" t="str">
        <f t="shared" si="15"/>
        <v>Control</v>
      </c>
      <c r="N88" t="s">
        <v>636</v>
      </c>
      <c r="O88" t="s">
        <v>707</v>
      </c>
      <c r="R88" t="s">
        <v>408</v>
      </c>
      <c r="S88" t="s">
        <v>701</v>
      </c>
      <c r="T88" t="s">
        <v>695</v>
      </c>
      <c r="U88" t="s">
        <v>609</v>
      </c>
      <c r="V88" s="1"/>
      <c r="W88" s="1"/>
      <c r="X88" s="1"/>
      <c r="AB88" s="1">
        <f>[17]Geng_etal_2018_Fig3!C8</f>
        <v>1.1282344137942201E-7</v>
      </c>
      <c r="AF88">
        <f>[18]Geng_etal_2018_Fig2c!B8</f>
        <v>9.2364533456953399</v>
      </c>
      <c r="AK88" t="s">
        <v>44</v>
      </c>
    </row>
    <row r="89" spans="1:37" hidden="1" x14ac:dyDescent="0.25">
      <c r="A89" t="s">
        <v>232</v>
      </c>
      <c r="B89" t="s">
        <v>233</v>
      </c>
      <c r="C89" t="s">
        <v>234</v>
      </c>
      <c r="D89" t="s">
        <v>149</v>
      </c>
      <c r="E89" t="s">
        <v>17</v>
      </c>
      <c r="F89" t="s">
        <v>69</v>
      </c>
      <c r="G89" t="s">
        <v>763</v>
      </c>
      <c r="H89" t="s">
        <v>760</v>
      </c>
      <c r="I89" t="s">
        <v>705</v>
      </c>
      <c r="J89">
        <f t="shared" si="14"/>
        <v>180</v>
      </c>
      <c r="K89" t="s">
        <v>624</v>
      </c>
      <c r="L89" t="s">
        <v>48</v>
      </c>
      <c r="M89" t="str">
        <f t="shared" si="15"/>
        <v>Stress</v>
      </c>
      <c r="N89" t="s">
        <v>630</v>
      </c>
      <c r="O89" t="s">
        <v>707</v>
      </c>
      <c r="R89" t="s">
        <v>408</v>
      </c>
      <c r="S89" t="s">
        <v>701</v>
      </c>
      <c r="T89" t="s">
        <v>695</v>
      </c>
      <c r="U89" t="s">
        <v>609</v>
      </c>
      <c r="V89" s="1"/>
      <c r="W89" s="1"/>
      <c r="X89" s="1"/>
      <c r="AB89" s="1">
        <f>[17]Geng_etal_2018_Fig3!C9</f>
        <v>2.4621466397304998E-8</v>
      </c>
      <c r="AF89">
        <f>[18]Geng_etal_2018_Fig2c!B9</f>
        <v>3.1957389835673302</v>
      </c>
      <c r="AK89" t="s">
        <v>44</v>
      </c>
    </row>
    <row r="90" spans="1:37" hidden="1" x14ac:dyDescent="0.25">
      <c r="A90" t="s">
        <v>232</v>
      </c>
      <c r="B90" t="s">
        <v>233</v>
      </c>
      <c r="C90" t="s">
        <v>234</v>
      </c>
      <c r="D90" t="s">
        <v>149</v>
      </c>
      <c r="E90" t="s">
        <v>17</v>
      </c>
      <c r="F90" t="s">
        <v>69</v>
      </c>
      <c r="G90" t="s">
        <v>763</v>
      </c>
      <c r="H90" t="s">
        <v>760</v>
      </c>
      <c r="I90" t="s">
        <v>705</v>
      </c>
      <c r="J90">
        <f t="shared" si="14"/>
        <v>180</v>
      </c>
      <c r="K90" t="s">
        <v>624</v>
      </c>
      <c r="L90" t="s">
        <v>48</v>
      </c>
      <c r="M90" t="str">
        <f t="shared" si="15"/>
        <v>Stress</v>
      </c>
      <c r="N90" t="s">
        <v>631</v>
      </c>
      <c r="O90" t="s">
        <v>707</v>
      </c>
      <c r="R90" t="s">
        <v>408</v>
      </c>
      <c r="S90" t="s">
        <v>701</v>
      </c>
      <c r="T90" t="s">
        <v>695</v>
      </c>
      <c r="U90" t="s">
        <v>609</v>
      </c>
      <c r="V90" s="1"/>
      <c r="W90" s="1"/>
      <c r="X90" s="1"/>
      <c r="AB90" s="1">
        <f>[17]Geng_etal_2018_Fig3!C10</f>
        <v>6.2527448552529802E-10</v>
      </c>
      <c r="AF90">
        <f>[18]Geng_etal_2018_Fig2c!B10</f>
        <v>0.93857769449964501</v>
      </c>
      <c r="AK90" t="s">
        <v>44</v>
      </c>
    </row>
    <row r="91" spans="1:37" hidden="1" x14ac:dyDescent="0.25">
      <c r="A91" t="s">
        <v>232</v>
      </c>
      <c r="B91" t="s">
        <v>233</v>
      </c>
      <c r="C91" t="s">
        <v>234</v>
      </c>
      <c r="D91" t="s">
        <v>149</v>
      </c>
      <c r="E91" t="s">
        <v>17</v>
      </c>
      <c r="F91" t="s">
        <v>69</v>
      </c>
      <c r="G91" t="s">
        <v>763</v>
      </c>
      <c r="H91" t="s">
        <v>760</v>
      </c>
      <c r="I91" t="s">
        <v>705</v>
      </c>
      <c r="J91">
        <f t="shared" si="14"/>
        <v>180</v>
      </c>
      <c r="K91" t="s">
        <v>624</v>
      </c>
      <c r="L91" t="s">
        <v>48</v>
      </c>
      <c r="M91" t="str">
        <f t="shared" si="15"/>
        <v>Stress</v>
      </c>
      <c r="N91" t="s">
        <v>633</v>
      </c>
      <c r="O91" t="s">
        <v>707</v>
      </c>
      <c r="R91" t="s">
        <v>408</v>
      </c>
      <c r="S91" t="s">
        <v>701</v>
      </c>
      <c r="T91" t="s">
        <v>695</v>
      </c>
      <c r="U91" t="s">
        <v>609</v>
      </c>
      <c r="V91" s="1"/>
      <c r="W91" s="1"/>
      <c r="X91" s="1"/>
      <c r="AB91" s="1">
        <f>[17]Geng_etal_2018_Fig3!C11</f>
        <v>9.5243459806808494E-10</v>
      </c>
      <c r="AF91">
        <f>[18]Geng_etal_2018_Fig2c!B11</f>
        <v>0.85295538316406005</v>
      </c>
      <c r="AK91" t="s">
        <v>44</v>
      </c>
    </row>
    <row r="92" spans="1:37" hidden="1" x14ac:dyDescent="0.25">
      <c r="A92" t="s">
        <v>232</v>
      </c>
      <c r="B92" t="s">
        <v>233</v>
      </c>
      <c r="C92" t="s">
        <v>234</v>
      </c>
      <c r="D92" t="s">
        <v>149</v>
      </c>
      <c r="E92" t="s">
        <v>17</v>
      </c>
      <c r="F92" t="s">
        <v>69</v>
      </c>
      <c r="G92" t="s">
        <v>763</v>
      </c>
      <c r="H92" t="s">
        <v>760</v>
      </c>
      <c r="I92" t="s">
        <v>705</v>
      </c>
      <c r="J92">
        <f t="shared" si="14"/>
        <v>180</v>
      </c>
      <c r="K92" t="s">
        <v>624</v>
      </c>
      <c r="L92" t="s">
        <v>48</v>
      </c>
      <c r="M92" t="str">
        <f t="shared" si="15"/>
        <v>Stress</v>
      </c>
      <c r="N92" t="s">
        <v>634</v>
      </c>
      <c r="O92" t="s">
        <v>707</v>
      </c>
      <c r="R92" t="s">
        <v>408</v>
      </c>
      <c r="S92" t="s">
        <v>701</v>
      </c>
      <c r="T92" t="s">
        <v>695</v>
      </c>
      <c r="U92" t="s">
        <v>609</v>
      </c>
      <c r="V92" s="1"/>
      <c r="W92" s="1"/>
      <c r="X92" s="1"/>
      <c r="AB92" s="1">
        <f>[17]Geng_etal_2018_Fig3!C12</f>
        <v>5.7475615735485403E-8</v>
      </c>
      <c r="AF92">
        <f>[18]Geng_etal_2018_Fig2c!B12</f>
        <v>5.6815285715675001</v>
      </c>
      <c r="AK92" t="s">
        <v>44</v>
      </c>
    </row>
    <row r="93" spans="1:37" hidden="1" x14ac:dyDescent="0.25">
      <c r="A93" t="s">
        <v>232</v>
      </c>
      <c r="B93" t="s">
        <v>233</v>
      </c>
      <c r="C93" t="s">
        <v>234</v>
      </c>
      <c r="D93" t="s">
        <v>149</v>
      </c>
      <c r="E93" t="s">
        <v>17</v>
      </c>
      <c r="F93" t="s">
        <v>69</v>
      </c>
      <c r="G93" t="s">
        <v>763</v>
      </c>
      <c r="H93" t="s">
        <v>760</v>
      </c>
      <c r="I93" t="s">
        <v>705</v>
      </c>
      <c r="J93">
        <f t="shared" si="14"/>
        <v>180</v>
      </c>
      <c r="K93" t="s">
        <v>624</v>
      </c>
      <c r="L93" t="s">
        <v>48</v>
      </c>
      <c r="M93" t="str">
        <f t="shared" si="15"/>
        <v>Stress</v>
      </c>
      <c r="N93" t="s">
        <v>632</v>
      </c>
      <c r="O93" t="s">
        <v>707</v>
      </c>
      <c r="R93" t="s">
        <v>408</v>
      </c>
      <c r="S93" t="s">
        <v>701</v>
      </c>
      <c r="T93" t="s">
        <v>695</v>
      </c>
      <c r="U93" t="s">
        <v>609</v>
      </c>
      <c r="V93" s="1"/>
      <c r="W93" s="1"/>
      <c r="X93" s="1"/>
      <c r="AB93" s="1">
        <f>[17]Geng_etal_2018_Fig3!C13</f>
        <v>5.7971547007505502E-8</v>
      </c>
      <c r="AF93">
        <f>[18]Geng_etal_2018_Fig2c!B13</f>
        <v>5.8238326398944196</v>
      </c>
      <c r="AK93" t="s">
        <v>44</v>
      </c>
    </row>
    <row r="94" spans="1:37" hidden="1" x14ac:dyDescent="0.25">
      <c r="A94" t="s">
        <v>232</v>
      </c>
      <c r="B94" t="s">
        <v>233</v>
      </c>
      <c r="C94" t="s">
        <v>234</v>
      </c>
      <c r="D94" t="s">
        <v>149</v>
      </c>
      <c r="E94" t="s">
        <v>17</v>
      </c>
      <c r="F94" t="s">
        <v>69</v>
      </c>
      <c r="G94" t="s">
        <v>763</v>
      </c>
      <c r="H94" t="s">
        <v>760</v>
      </c>
      <c r="I94" t="s">
        <v>705</v>
      </c>
      <c r="J94">
        <f t="shared" si="14"/>
        <v>180</v>
      </c>
      <c r="K94" t="s">
        <v>624</v>
      </c>
      <c r="L94" t="s">
        <v>48</v>
      </c>
      <c r="M94" t="str">
        <f t="shared" si="15"/>
        <v>Stress</v>
      </c>
      <c r="N94" t="s">
        <v>635</v>
      </c>
      <c r="O94" t="s">
        <v>707</v>
      </c>
      <c r="R94" t="s">
        <v>408</v>
      </c>
      <c r="S94" t="s">
        <v>701</v>
      </c>
      <c r="T94" t="s">
        <v>695</v>
      </c>
      <c r="U94" t="s">
        <v>609</v>
      </c>
      <c r="V94" s="1"/>
      <c r="W94" s="1"/>
      <c r="X94" s="1"/>
      <c r="AB94" s="1">
        <f>[17]Geng_etal_2018_Fig3!C14</f>
        <v>5.40962732303297E-8</v>
      </c>
      <c r="AF94">
        <f>[18]Geng_etal_2018_Fig2c!B14</f>
        <v>6.9019799808301796</v>
      </c>
      <c r="AK94" t="s">
        <v>44</v>
      </c>
    </row>
    <row r="95" spans="1:37" hidden="1" x14ac:dyDescent="0.25">
      <c r="A95" t="s">
        <v>232</v>
      </c>
      <c r="B95" t="s">
        <v>233</v>
      </c>
      <c r="C95" t="s">
        <v>234</v>
      </c>
      <c r="D95" t="s">
        <v>149</v>
      </c>
      <c r="E95" t="s">
        <v>17</v>
      </c>
      <c r="F95" t="s">
        <v>69</v>
      </c>
      <c r="G95" t="s">
        <v>763</v>
      </c>
      <c r="H95" t="s">
        <v>760</v>
      </c>
      <c r="I95" t="s">
        <v>705</v>
      </c>
      <c r="J95">
        <f t="shared" si="14"/>
        <v>180</v>
      </c>
      <c r="K95" t="s">
        <v>624</v>
      </c>
      <c r="L95" t="s">
        <v>48</v>
      </c>
      <c r="M95" t="str">
        <f t="shared" si="15"/>
        <v>Stress</v>
      </c>
      <c r="N95" t="s">
        <v>636</v>
      </c>
      <c r="O95" t="s">
        <v>707</v>
      </c>
      <c r="R95" t="s">
        <v>408</v>
      </c>
      <c r="S95" t="s">
        <v>701</v>
      </c>
      <c r="T95" t="s">
        <v>695</v>
      </c>
      <c r="U95" t="s">
        <v>609</v>
      </c>
      <c r="V95" s="1"/>
      <c r="W95" s="1"/>
      <c r="X95" s="1"/>
      <c r="AB95" s="1">
        <f>[17]Geng_etal_2018_Fig3!C15</f>
        <v>5.7430730478589398E-8</v>
      </c>
      <c r="AF95">
        <f>[18]Geng_etal_2018_Fig2c!B15</f>
        <v>6.9254484214075198</v>
      </c>
      <c r="AK95" t="s">
        <v>44</v>
      </c>
    </row>
    <row r="96" spans="1:37" hidden="1" x14ac:dyDescent="0.25">
      <c r="A96" t="s">
        <v>317</v>
      </c>
      <c r="B96" t="s">
        <v>339</v>
      </c>
      <c r="C96" t="s">
        <v>340</v>
      </c>
      <c r="D96" t="s">
        <v>89</v>
      </c>
      <c r="E96" t="s">
        <v>17</v>
      </c>
      <c r="F96" t="s">
        <v>69</v>
      </c>
      <c r="G96" t="s">
        <v>616</v>
      </c>
      <c r="H96" t="s">
        <v>760</v>
      </c>
      <c r="I96" t="s">
        <v>705</v>
      </c>
      <c r="J96">
        <f t="shared" ref="J96:J107" si="16">7*30</f>
        <v>210</v>
      </c>
      <c r="K96" t="s">
        <v>419</v>
      </c>
      <c r="L96" t="s">
        <v>36</v>
      </c>
      <c r="M96" t="str">
        <f t="shared" si="15"/>
        <v>Control</v>
      </c>
      <c r="R96" t="s">
        <v>408</v>
      </c>
      <c r="S96" t="s">
        <v>701</v>
      </c>
      <c r="T96" t="s">
        <v>695</v>
      </c>
      <c r="U96" t="s">
        <v>609</v>
      </c>
      <c r="V96" s="1"/>
      <c r="W96" s="1"/>
      <c r="X96" s="1"/>
      <c r="AC96" s="1">
        <f>[19]Creek_etal_2018_Fig2a!$D$7</f>
        <v>6.8823499999999994E-8</v>
      </c>
      <c r="AK96" t="s">
        <v>25</v>
      </c>
    </row>
    <row r="97" spans="1:37" hidden="1" x14ac:dyDescent="0.25">
      <c r="A97" t="s">
        <v>317</v>
      </c>
      <c r="B97" t="s">
        <v>339</v>
      </c>
      <c r="C97" t="s">
        <v>340</v>
      </c>
      <c r="D97" t="s">
        <v>89</v>
      </c>
      <c r="E97" t="s">
        <v>17</v>
      </c>
      <c r="F97" t="s">
        <v>69</v>
      </c>
      <c r="G97" t="s">
        <v>616</v>
      </c>
      <c r="H97" t="s">
        <v>760</v>
      </c>
      <c r="I97" t="s">
        <v>705</v>
      </c>
      <c r="J97">
        <f t="shared" si="16"/>
        <v>210</v>
      </c>
      <c r="K97" t="s">
        <v>419</v>
      </c>
      <c r="L97" t="s">
        <v>345</v>
      </c>
      <c r="M97" t="str">
        <f t="shared" si="15"/>
        <v>Stress</v>
      </c>
      <c r="R97" t="s">
        <v>408</v>
      </c>
      <c r="S97" t="s">
        <v>701</v>
      </c>
      <c r="T97" t="s">
        <v>695</v>
      </c>
      <c r="U97" t="s">
        <v>609</v>
      </c>
      <c r="V97" s="1"/>
      <c r="W97" s="1"/>
      <c r="X97" s="1"/>
      <c r="AC97" s="1">
        <f>[19]Creek_etal_2018_Fig2a!$D$13</f>
        <v>3.2934999999999997E-8</v>
      </c>
      <c r="AK97" t="s">
        <v>25</v>
      </c>
    </row>
    <row r="98" spans="1:37" hidden="1" x14ac:dyDescent="0.25">
      <c r="A98" t="s">
        <v>317</v>
      </c>
      <c r="B98" t="s">
        <v>339</v>
      </c>
      <c r="C98" t="s">
        <v>340</v>
      </c>
      <c r="D98" t="s">
        <v>89</v>
      </c>
      <c r="E98" t="s">
        <v>17</v>
      </c>
      <c r="F98" t="s">
        <v>69</v>
      </c>
      <c r="G98" t="s">
        <v>616</v>
      </c>
      <c r="H98" t="s">
        <v>760</v>
      </c>
      <c r="I98" t="s">
        <v>705</v>
      </c>
      <c r="J98">
        <f t="shared" si="16"/>
        <v>210</v>
      </c>
      <c r="K98" t="s">
        <v>419</v>
      </c>
      <c r="L98" t="s">
        <v>346</v>
      </c>
      <c r="M98" t="str">
        <f t="shared" si="15"/>
        <v>Stress</v>
      </c>
      <c r="R98" t="s">
        <v>408</v>
      </c>
      <c r="S98" t="s">
        <v>701</v>
      </c>
      <c r="T98" t="s">
        <v>695</v>
      </c>
      <c r="U98" t="s">
        <v>609</v>
      </c>
      <c r="V98" s="1"/>
      <c r="W98" s="1"/>
      <c r="X98" s="1"/>
      <c r="AC98" s="1">
        <f>[19]Creek_etal_2018_Fig2a!$D$15</f>
        <v>2.4742999999999999E-8</v>
      </c>
      <c r="AK98" t="s">
        <v>25</v>
      </c>
    </row>
    <row r="99" spans="1:37" hidden="1" x14ac:dyDescent="0.25">
      <c r="A99" t="s">
        <v>317</v>
      </c>
      <c r="B99" t="s">
        <v>339</v>
      </c>
      <c r="C99" t="s">
        <v>340</v>
      </c>
      <c r="D99" t="s">
        <v>89</v>
      </c>
      <c r="E99" t="s">
        <v>17</v>
      </c>
      <c r="F99" t="s">
        <v>69</v>
      </c>
      <c r="G99" t="s">
        <v>616</v>
      </c>
      <c r="H99" t="s">
        <v>760</v>
      </c>
      <c r="I99" t="s">
        <v>705</v>
      </c>
      <c r="J99">
        <f t="shared" si="16"/>
        <v>210</v>
      </c>
      <c r="K99" t="s">
        <v>419</v>
      </c>
      <c r="L99" t="s">
        <v>347</v>
      </c>
      <c r="M99" t="str">
        <f t="shared" si="15"/>
        <v>Stress</v>
      </c>
      <c r="R99" t="s">
        <v>408</v>
      </c>
      <c r="S99" t="s">
        <v>701</v>
      </c>
      <c r="T99" t="s">
        <v>695</v>
      </c>
      <c r="U99" t="s">
        <v>609</v>
      </c>
      <c r="V99" s="1"/>
      <c r="W99" s="1"/>
      <c r="X99" s="1"/>
      <c r="AC99" s="1">
        <f>[19]Creek_etal_2018_Fig2a!$D$18</f>
        <v>1.9393200000000001E-8</v>
      </c>
      <c r="AK99" t="s">
        <v>25</v>
      </c>
    </row>
    <row r="100" spans="1:37" hidden="1" x14ac:dyDescent="0.25">
      <c r="A100" t="s">
        <v>317</v>
      </c>
      <c r="B100" t="s">
        <v>341</v>
      </c>
      <c r="C100" t="s">
        <v>344</v>
      </c>
      <c r="D100" t="s">
        <v>343</v>
      </c>
      <c r="E100" t="s">
        <v>17</v>
      </c>
      <c r="F100" t="s">
        <v>69</v>
      </c>
      <c r="G100" t="s">
        <v>616</v>
      </c>
      <c r="H100" t="s">
        <v>760</v>
      </c>
      <c r="I100" t="s">
        <v>705</v>
      </c>
      <c r="J100">
        <f t="shared" si="16"/>
        <v>210</v>
      </c>
      <c r="K100" t="s">
        <v>419</v>
      </c>
      <c r="L100" t="s">
        <v>36</v>
      </c>
      <c r="M100" t="str">
        <f t="shared" si="15"/>
        <v>Control</v>
      </c>
      <c r="R100" t="s">
        <v>408</v>
      </c>
      <c r="S100" t="s">
        <v>701</v>
      </c>
      <c r="T100" t="s">
        <v>695</v>
      </c>
      <c r="U100" t="s">
        <v>609</v>
      </c>
      <c r="V100" s="1"/>
      <c r="W100" s="1"/>
      <c r="X100" s="1"/>
      <c r="AC100" s="1">
        <f>[20]Creek_etal_2018_Fig2b!$D$6</f>
        <v>6.7413333333333286E-8</v>
      </c>
      <c r="AK100" t="s">
        <v>25</v>
      </c>
    </row>
    <row r="101" spans="1:37" hidden="1" x14ac:dyDescent="0.25">
      <c r="A101" t="s">
        <v>317</v>
      </c>
      <c r="B101" t="s">
        <v>341</v>
      </c>
      <c r="C101" t="s">
        <v>344</v>
      </c>
      <c r="D101" t="s">
        <v>343</v>
      </c>
      <c r="E101" t="s">
        <v>17</v>
      </c>
      <c r="F101" t="s">
        <v>69</v>
      </c>
      <c r="G101" t="s">
        <v>616</v>
      </c>
      <c r="H101" t="s">
        <v>760</v>
      </c>
      <c r="I101" t="s">
        <v>705</v>
      </c>
      <c r="J101">
        <f t="shared" si="16"/>
        <v>210</v>
      </c>
      <c r="K101" t="s">
        <v>419</v>
      </c>
      <c r="L101" t="s">
        <v>336</v>
      </c>
      <c r="M101" t="str">
        <f t="shared" si="15"/>
        <v>Stress</v>
      </c>
      <c r="R101" t="s">
        <v>408</v>
      </c>
      <c r="S101" t="s">
        <v>701</v>
      </c>
      <c r="T101" t="s">
        <v>695</v>
      </c>
      <c r="U101" t="s">
        <v>609</v>
      </c>
      <c r="V101" s="1"/>
      <c r="W101" s="1"/>
      <c r="X101" s="1"/>
      <c r="AC101" s="1">
        <f>[20]Creek_etal_2018_Fig2b!$D$10</f>
        <v>4.1046666666666615E-8</v>
      </c>
      <c r="AK101" t="s">
        <v>25</v>
      </c>
    </row>
    <row r="102" spans="1:37" hidden="1" x14ac:dyDescent="0.25">
      <c r="A102" t="s">
        <v>317</v>
      </c>
      <c r="B102" t="s">
        <v>341</v>
      </c>
      <c r="C102" t="s">
        <v>344</v>
      </c>
      <c r="D102" t="s">
        <v>343</v>
      </c>
      <c r="E102" t="s">
        <v>17</v>
      </c>
      <c r="F102" t="s">
        <v>69</v>
      </c>
      <c r="G102" t="s">
        <v>616</v>
      </c>
      <c r="H102" t="s">
        <v>760</v>
      </c>
      <c r="I102" t="s">
        <v>705</v>
      </c>
      <c r="J102">
        <f t="shared" si="16"/>
        <v>210</v>
      </c>
      <c r="K102" t="s">
        <v>419</v>
      </c>
      <c r="L102" t="s">
        <v>338</v>
      </c>
      <c r="M102" t="str">
        <f t="shared" si="15"/>
        <v>Stress</v>
      </c>
      <c r="R102" t="s">
        <v>408</v>
      </c>
      <c r="S102" t="s">
        <v>701</v>
      </c>
      <c r="T102" t="s">
        <v>695</v>
      </c>
      <c r="U102" t="s">
        <v>609</v>
      </c>
      <c r="V102" s="1"/>
      <c r="W102" s="1"/>
      <c r="X102" s="1"/>
      <c r="AK102" t="s">
        <v>25</v>
      </c>
    </row>
    <row r="103" spans="1:37" hidden="1" x14ac:dyDescent="0.25">
      <c r="A103" t="s">
        <v>317</v>
      </c>
      <c r="B103" t="s">
        <v>341</v>
      </c>
      <c r="C103" t="s">
        <v>344</v>
      </c>
      <c r="D103" t="s">
        <v>343</v>
      </c>
      <c r="E103" t="s">
        <v>17</v>
      </c>
      <c r="F103" t="s">
        <v>69</v>
      </c>
      <c r="G103" t="s">
        <v>616</v>
      </c>
      <c r="H103" t="s">
        <v>760</v>
      </c>
      <c r="I103" t="s">
        <v>705</v>
      </c>
      <c r="J103">
        <f t="shared" si="16"/>
        <v>210</v>
      </c>
      <c r="K103" t="s">
        <v>419</v>
      </c>
      <c r="L103" t="s">
        <v>337</v>
      </c>
      <c r="M103" t="str">
        <f t="shared" si="15"/>
        <v>Stress</v>
      </c>
      <c r="R103" t="s">
        <v>408</v>
      </c>
      <c r="S103" t="s">
        <v>701</v>
      </c>
      <c r="T103" t="s">
        <v>695</v>
      </c>
      <c r="U103" t="s">
        <v>609</v>
      </c>
      <c r="V103" s="1"/>
      <c r="W103" s="1"/>
      <c r="X103" s="1"/>
      <c r="AC103" s="1">
        <f>[20]Creek_etal_2018_Fig2b!$D$20</f>
        <v>1.381333333333334E-8</v>
      </c>
      <c r="AK103" t="s">
        <v>25</v>
      </c>
    </row>
    <row r="104" spans="1:37" hidden="1" x14ac:dyDescent="0.25">
      <c r="A104" t="s">
        <v>317</v>
      </c>
      <c r="B104" t="s">
        <v>342</v>
      </c>
      <c r="C104" t="s">
        <v>344</v>
      </c>
      <c r="D104" t="s">
        <v>343</v>
      </c>
      <c r="E104" t="s">
        <v>17</v>
      </c>
      <c r="F104" t="s">
        <v>69</v>
      </c>
      <c r="G104" t="s">
        <v>616</v>
      </c>
      <c r="H104" t="s">
        <v>760</v>
      </c>
      <c r="I104" t="s">
        <v>705</v>
      </c>
      <c r="J104">
        <f t="shared" si="16"/>
        <v>210</v>
      </c>
      <c r="K104" t="s">
        <v>419</v>
      </c>
      <c r="L104" t="s">
        <v>36</v>
      </c>
      <c r="M104" t="str">
        <f t="shared" si="15"/>
        <v>Control</v>
      </c>
      <c r="R104" t="s">
        <v>408</v>
      </c>
      <c r="S104" t="s">
        <v>701</v>
      </c>
      <c r="T104" t="s">
        <v>695</v>
      </c>
      <c r="U104" t="s">
        <v>609</v>
      </c>
      <c r="V104" s="1"/>
      <c r="W104" s="1"/>
      <c r="X104" s="1"/>
      <c r="AC104">
        <f>[21]Creek_etal_2018_Fig2c!$D$9</f>
        <v>3.7838333333333294E-8</v>
      </c>
      <c r="AK104" t="s">
        <v>25</v>
      </c>
    </row>
    <row r="105" spans="1:37" hidden="1" x14ac:dyDescent="0.25">
      <c r="A105" t="s">
        <v>317</v>
      </c>
      <c r="B105" t="s">
        <v>342</v>
      </c>
      <c r="C105" t="s">
        <v>344</v>
      </c>
      <c r="D105" t="s">
        <v>343</v>
      </c>
      <c r="E105" t="s">
        <v>17</v>
      </c>
      <c r="F105" t="s">
        <v>69</v>
      </c>
      <c r="G105" t="s">
        <v>616</v>
      </c>
      <c r="H105" t="s">
        <v>760</v>
      </c>
      <c r="I105" t="s">
        <v>705</v>
      </c>
      <c r="J105">
        <f t="shared" si="16"/>
        <v>210</v>
      </c>
      <c r="K105" t="s">
        <v>419</v>
      </c>
      <c r="L105" t="s">
        <v>336</v>
      </c>
      <c r="M105" t="str">
        <f t="shared" si="15"/>
        <v>Stress</v>
      </c>
      <c r="R105" t="s">
        <v>408</v>
      </c>
      <c r="S105" t="s">
        <v>701</v>
      </c>
      <c r="T105" t="s">
        <v>695</v>
      </c>
      <c r="U105" t="s">
        <v>609</v>
      </c>
      <c r="V105" s="1"/>
      <c r="W105" s="1"/>
      <c r="X105" s="1"/>
      <c r="AK105" t="s">
        <v>25</v>
      </c>
    </row>
    <row r="106" spans="1:37" hidden="1" x14ac:dyDescent="0.25">
      <c r="A106" t="s">
        <v>317</v>
      </c>
      <c r="B106" t="s">
        <v>342</v>
      </c>
      <c r="C106" t="s">
        <v>344</v>
      </c>
      <c r="D106" t="s">
        <v>343</v>
      </c>
      <c r="E106" t="s">
        <v>17</v>
      </c>
      <c r="F106" t="s">
        <v>69</v>
      </c>
      <c r="G106" t="s">
        <v>616</v>
      </c>
      <c r="H106" t="s">
        <v>760</v>
      </c>
      <c r="I106" t="s">
        <v>705</v>
      </c>
      <c r="J106">
        <f t="shared" si="16"/>
        <v>210</v>
      </c>
      <c r="K106" t="s">
        <v>419</v>
      </c>
      <c r="L106" t="s">
        <v>338</v>
      </c>
      <c r="M106" t="str">
        <f t="shared" si="15"/>
        <v>Stress</v>
      </c>
      <c r="R106" t="s">
        <v>408</v>
      </c>
      <c r="S106" t="s">
        <v>701</v>
      </c>
      <c r="T106" t="s">
        <v>695</v>
      </c>
      <c r="U106" t="s">
        <v>609</v>
      </c>
      <c r="V106" s="1"/>
      <c r="W106" s="1"/>
      <c r="X106" s="1"/>
      <c r="AC106">
        <f>[21]Creek_etal_2018_Fig2c!$D$14</f>
        <v>1.6435555555555572E-8</v>
      </c>
      <c r="AK106" t="s">
        <v>25</v>
      </c>
    </row>
    <row r="107" spans="1:37" hidden="1" x14ac:dyDescent="0.25">
      <c r="A107" t="s">
        <v>317</v>
      </c>
      <c r="B107" t="s">
        <v>342</v>
      </c>
      <c r="C107" t="s">
        <v>344</v>
      </c>
      <c r="D107" t="s">
        <v>343</v>
      </c>
      <c r="E107" t="s">
        <v>17</v>
      </c>
      <c r="F107" t="s">
        <v>69</v>
      </c>
      <c r="G107" t="s">
        <v>616</v>
      </c>
      <c r="H107" t="s">
        <v>760</v>
      </c>
      <c r="I107" t="s">
        <v>705</v>
      </c>
      <c r="J107">
        <f t="shared" si="16"/>
        <v>210</v>
      </c>
      <c r="K107" t="s">
        <v>419</v>
      </c>
      <c r="L107" t="s">
        <v>337</v>
      </c>
      <c r="M107" t="str">
        <f t="shared" si="15"/>
        <v>Stress</v>
      </c>
      <c r="R107" t="s">
        <v>408</v>
      </c>
      <c r="S107" t="s">
        <v>701</v>
      </c>
      <c r="T107" t="s">
        <v>695</v>
      </c>
      <c r="U107" t="s">
        <v>609</v>
      </c>
      <c r="V107" s="1"/>
      <c r="W107" s="1"/>
      <c r="X107" s="1"/>
      <c r="AC107">
        <f>[21]Creek_etal_2018_Fig2c!$D$18</f>
        <v>6.9633333333333633E-9</v>
      </c>
      <c r="AK107" t="s">
        <v>25</v>
      </c>
    </row>
    <row r="108" spans="1:37" hidden="1" x14ac:dyDescent="0.25">
      <c r="A108" t="s">
        <v>362</v>
      </c>
      <c r="B108" t="s">
        <v>248</v>
      </c>
      <c r="C108" t="s">
        <v>363</v>
      </c>
      <c r="D108" t="s">
        <v>249</v>
      </c>
      <c r="E108" t="s">
        <v>17</v>
      </c>
      <c r="F108" t="s">
        <v>126</v>
      </c>
      <c r="G108" t="s">
        <v>616</v>
      </c>
      <c r="H108" t="s">
        <v>760</v>
      </c>
      <c r="I108" t="s">
        <v>705</v>
      </c>
      <c r="J108">
        <f t="shared" ref="J108:J113" si="17">1*365</f>
        <v>365</v>
      </c>
      <c r="K108" t="s">
        <v>750</v>
      </c>
      <c r="L108" t="s">
        <v>368</v>
      </c>
      <c r="M108" t="s">
        <v>707</v>
      </c>
      <c r="R108" t="s">
        <v>408</v>
      </c>
      <c r="S108" t="s">
        <v>701</v>
      </c>
      <c r="T108" t="s">
        <v>695</v>
      </c>
      <c r="U108" t="s">
        <v>609</v>
      </c>
      <c r="V108" s="1"/>
      <c r="W108" s="1"/>
      <c r="X108" s="1"/>
      <c r="AA108" s="1">
        <v>2.0000000000000001E-10</v>
      </c>
      <c r="AK108" t="s">
        <v>44</v>
      </c>
    </row>
    <row r="109" spans="1:37" hidden="1" x14ac:dyDescent="0.25">
      <c r="A109" t="s">
        <v>362</v>
      </c>
      <c r="B109" t="s">
        <v>248</v>
      </c>
      <c r="C109" t="s">
        <v>363</v>
      </c>
      <c r="D109" t="s">
        <v>249</v>
      </c>
      <c r="E109" t="s">
        <v>17</v>
      </c>
      <c r="F109" t="s">
        <v>126</v>
      </c>
      <c r="G109" t="s">
        <v>616</v>
      </c>
      <c r="H109" t="s">
        <v>760</v>
      </c>
      <c r="I109" t="s">
        <v>705</v>
      </c>
      <c r="J109">
        <f t="shared" si="17"/>
        <v>365</v>
      </c>
      <c r="K109" t="s">
        <v>750</v>
      </c>
      <c r="L109" t="s">
        <v>369</v>
      </c>
      <c r="M109" t="s">
        <v>707</v>
      </c>
      <c r="R109" t="s">
        <v>408</v>
      </c>
      <c r="S109" t="s">
        <v>701</v>
      </c>
      <c r="T109" t="s">
        <v>695</v>
      </c>
      <c r="U109" t="s">
        <v>609</v>
      </c>
      <c r="V109" s="1"/>
      <c r="W109" s="1"/>
      <c r="X109" s="1"/>
      <c r="AA109" s="1">
        <v>1.4000000000000001E-10</v>
      </c>
      <c r="AK109" t="s">
        <v>44</v>
      </c>
    </row>
    <row r="110" spans="1:37" hidden="1" x14ac:dyDescent="0.25">
      <c r="A110" t="s">
        <v>362</v>
      </c>
      <c r="B110" t="s">
        <v>248</v>
      </c>
      <c r="C110" t="s">
        <v>363</v>
      </c>
      <c r="D110" t="s">
        <v>249</v>
      </c>
      <c r="E110" t="s">
        <v>17</v>
      </c>
      <c r="F110" t="s">
        <v>126</v>
      </c>
      <c r="G110" t="s">
        <v>616</v>
      </c>
      <c r="H110" t="s">
        <v>760</v>
      </c>
      <c r="I110" t="s">
        <v>705</v>
      </c>
      <c r="J110">
        <f t="shared" si="17"/>
        <v>365</v>
      </c>
      <c r="K110" t="s">
        <v>750</v>
      </c>
      <c r="L110" t="s">
        <v>370</v>
      </c>
      <c r="M110" t="s">
        <v>707</v>
      </c>
      <c r="R110" t="s">
        <v>408</v>
      </c>
      <c r="S110" t="s">
        <v>701</v>
      </c>
      <c r="T110" t="s">
        <v>695</v>
      </c>
      <c r="U110" t="s">
        <v>609</v>
      </c>
      <c r="V110" s="1"/>
      <c r="W110" s="1"/>
      <c r="X110" s="1"/>
      <c r="AA110" s="1">
        <v>8.9999999999999999E-11</v>
      </c>
      <c r="AK110" t="s">
        <v>44</v>
      </c>
    </row>
    <row r="111" spans="1:37" hidden="1" x14ac:dyDescent="0.25">
      <c r="A111" t="s">
        <v>362</v>
      </c>
      <c r="B111" t="s">
        <v>364</v>
      </c>
      <c r="C111" t="s">
        <v>365</v>
      </c>
      <c r="D111" t="s">
        <v>366</v>
      </c>
      <c r="E111" t="s">
        <v>17</v>
      </c>
      <c r="F111" t="s">
        <v>367</v>
      </c>
      <c r="G111" t="s">
        <v>134</v>
      </c>
      <c r="H111" t="s">
        <v>134</v>
      </c>
      <c r="I111" t="s">
        <v>134</v>
      </c>
      <c r="J111">
        <f t="shared" si="17"/>
        <v>365</v>
      </c>
      <c r="K111" t="s">
        <v>750</v>
      </c>
      <c r="L111" t="s">
        <v>368</v>
      </c>
      <c r="M111" t="s">
        <v>707</v>
      </c>
      <c r="R111" t="s">
        <v>408</v>
      </c>
      <c r="S111" t="s">
        <v>701</v>
      </c>
      <c r="T111" t="s">
        <v>695</v>
      </c>
      <c r="U111" t="s">
        <v>609</v>
      </c>
      <c r="V111" s="1"/>
      <c r="W111" s="1"/>
      <c r="X111" s="1"/>
      <c r="AA111" s="1">
        <v>8.0000000000000003E-10</v>
      </c>
      <c r="AK111" t="s">
        <v>44</v>
      </c>
    </row>
    <row r="112" spans="1:37" hidden="1" x14ac:dyDescent="0.25">
      <c r="A112" t="s">
        <v>362</v>
      </c>
      <c r="B112" t="s">
        <v>364</v>
      </c>
      <c r="C112" t="s">
        <v>365</v>
      </c>
      <c r="D112" t="s">
        <v>366</v>
      </c>
      <c r="E112" t="s">
        <v>17</v>
      </c>
      <c r="F112" t="s">
        <v>367</v>
      </c>
      <c r="G112" t="s">
        <v>134</v>
      </c>
      <c r="H112" t="s">
        <v>134</v>
      </c>
      <c r="I112" t="s">
        <v>134</v>
      </c>
      <c r="J112">
        <f t="shared" si="17"/>
        <v>365</v>
      </c>
      <c r="K112" t="s">
        <v>750</v>
      </c>
      <c r="L112" t="s">
        <v>369</v>
      </c>
      <c r="M112" t="s">
        <v>707</v>
      </c>
      <c r="R112" t="s">
        <v>408</v>
      </c>
      <c r="S112" t="s">
        <v>701</v>
      </c>
      <c r="T112" t="s">
        <v>695</v>
      </c>
      <c r="U112" t="s">
        <v>609</v>
      </c>
      <c r="V112" s="1"/>
      <c r="W112" s="1"/>
      <c r="X112" s="1"/>
      <c r="AA112" s="1">
        <v>1.44E-9</v>
      </c>
      <c r="AK112" t="s">
        <v>44</v>
      </c>
    </row>
    <row r="113" spans="1:37" hidden="1" x14ac:dyDescent="0.25">
      <c r="A113" t="s">
        <v>362</v>
      </c>
      <c r="B113" t="s">
        <v>364</v>
      </c>
      <c r="C113" t="s">
        <v>365</v>
      </c>
      <c r="D113" t="s">
        <v>366</v>
      </c>
      <c r="E113" t="s">
        <v>17</v>
      </c>
      <c r="F113" t="s">
        <v>367</v>
      </c>
      <c r="G113" t="s">
        <v>134</v>
      </c>
      <c r="H113" t="s">
        <v>134</v>
      </c>
      <c r="I113" t="s">
        <v>134</v>
      </c>
      <c r="J113">
        <f t="shared" si="17"/>
        <v>365</v>
      </c>
      <c r="K113" t="s">
        <v>750</v>
      </c>
      <c r="L113" t="s">
        <v>370</v>
      </c>
      <c r="M113" t="s">
        <v>707</v>
      </c>
      <c r="R113" t="s">
        <v>408</v>
      </c>
      <c r="S113" t="s">
        <v>701</v>
      </c>
      <c r="T113" t="s">
        <v>695</v>
      </c>
      <c r="U113" t="s">
        <v>609</v>
      </c>
      <c r="V113" s="1"/>
      <c r="W113" s="1"/>
      <c r="X113" s="1"/>
      <c r="AA113" s="1">
        <v>4.2E-10</v>
      </c>
      <c r="AK113" t="s">
        <v>44</v>
      </c>
    </row>
    <row r="114" spans="1:37" hidden="1" x14ac:dyDescent="0.25">
      <c r="A114" t="s">
        <v>45</v>
      </c>
      <c r="B114" t="s">
        <v>32</v>
      </c>
      <c r="C114" t="s">
        <v>33</v>
      </c>
      <c r="D114" t="s">
        <v>34</v>
      </c>
      <c r="E114" t="s">
        <v>17</v>
      </c>
      <c r="F114" t="s">
        <v>614</v>
      </c>
      <c r="G114" t="s">
        <v>614</v>
      </c>
      <c r="H114" t="s">
        <v>801</v>
      </c>
      <c r="I114" t="s">
        <v>804</v>
      </c>
      <c r="K114" t="s">
        <v>46</v>
      </c>
      <c r="L114" t="s">
        <v>36</v>
      </c>
      <c r="M114" t="str">
        <f t="shared" ref="M114:M125" si="18">+IF(L114 = "Control", "Control", "Stress")</f>
        <v>Control</v>
      </c>
      <c r="N114" t="s">
        <v>36</v>
      </c>
      <c r="O114" t="str">
        <f t="shared" ref="O114:O125" si="19">+IF(N114="Control","Control","Stress")</f>
        <v>Control</v>
      </c>
      <c r="R114" t="s">
        <v>408</v>
      </c>
      <c r="S114" t="s">
        <v>701</v>
      </c>
      <c r="T114" t="s">
        <v>695</v>
      </c>
      <c r="U114" t="s">
        <v>609</v>
      </c>
      <c r="V114" s="1"/>
      <c r="W114" s="1"/>
      <c r="X114" s="1"/>
      <c r="Y114" s="1"/>
      <c r="Z114" s="1"/>
      <c r="AA114" s="1"/>
      <c r="AB114" s="1">
        <f>[22]Shi_etal_2016_Fig2!B2</f>
        <v>1.7542168674698699E-7</v>
      </c>
      <c r="AC114" s="1"/>
      <c r="AF114" s="2"/>
      <c r="AG114" s="2"/>
      <c r="AK114" t="s">
        <v>199</v>
      </c>
    </row>
    <row r="115" spans="1:37" hidden="1" x14ac:dyDescent="0.25">
      <c r="A115" t="s">
        <v>45</v>
      </c>
      <c r="B115" t="s">
        <v>32</v>
      </c>
      <c r="C115" t="s">
        <v>33</v>
      </c>
      <c r="D115" t="s">
        <v>34</v>
      </c>
      <c r="E115" t="s">
        <v>17</v>
      </c>
      <c r="F115" t="s">
        <v>614</v>
      </c>
      <c r="G115" t="s">
        <v>614</v>
      </c>
      <c r="H115" t="s">
        <v>801</v>
      </c>
      <c r="I115" t="s">
        <v>804</v>
      </c>
      <c r="K115" t="s">
        <v>46</v>
      </c>
      <c r="L115" t="s">
        <v>36</v>
      </c>
      <c r="M115" t="str">
        <f t="shared" si="18"/>
        <v>Control</v>
      </c>
      <c r="N115" t="s">
        <v>47</v>
      </c>
      <c r="O115" t="str">
        <f t="shared" si="19"/>
        <v>Stress</v>
      </c>
      <c r="R115" t="s">
        <v>408</v>
      </c>
      <c r="S115" t="s">
        <v>701</v>
      </c>
      <c r="T115" t="s">
        <v>695</v>
      </c>
      <c r="U115" t="s">
        <v>609</v>
      </c>
      <c r="V115" s="1"/>
      <c r="W115" s="1"/>
      <c r="X115" s="1"/>
      <c r="Y115" s="1"/>
      <c r="Z115" s="1"/>
      <c r="AA115" s="1"/>
      <c r="AB115" s="1">
        <f>[22]Shi_etal_2016_Fig2!B3</f>
        <v>1.53734939759036E-7</v>
      </c>
      <c r="AC115" s="1"/>
      <c r="AF115" s="2"/>
      <c r="AG115" s="2"/>
      <c r="AK115" t="s">
        <v>199</v>
      </c>
    </row>
    <row r="116" spans="1:37" hidden="1" x14ac:dyDescent="0.25">
      <c r="A116" t="s">
        <v>45</v>
      </c>
      <c r="B116" t="s">
        <v>32</v>
      </c>
      <c r="C116" t="s">
        <v>33</v>
      </c>
      <c r="D116" t="s">
        <v>34</v>
      </c>
      <c r="E116" t="s">
        <v>17</v>
      </c>
      <c r="F116" t="s">
        <v>614</v>
      </c>
      <c r="G116" t="s">
        <v>614</v>
      </c>
      <c r="H116" t="s">
        <v>801</v>
      </c>
      <c r="I116" t="s">
        <v>804</v>
      </c>
      <c r="K116" t="s">
        <v>46</v>
      </c>
      <c r="L116" t="s">
        <v>48</v>
      </c>
      <c r="M116" t="str">
        <f t="shared" si="18"/>
        <v>Stress</v>
      </c>
      <c r="N116" t="s">
        <v>36</v>
      </c>
      <c r="O116" t="str">
        <f t="shared" si="19"/>
        <v>Control</v>
      </c>
      <c r="R116" t="s">
        <v>408</v>
      </c>
      <c r="S116" t="s">
        <v>701</v>
      </c>
      <c r="T116" t="s">
        <v>695</v>
      </c>
      <c r="U116" t="s">
        <v>609</v>
      </c>
      <c r="V116" s="1"/>
      <c r="W116" s="1"/>
      <c r="X116" s="1"/>
      <c r="Y116" s="1"/>
      <c r="Z116" s="1"/>
      <c r="AA116" s="1"/>
      <c r="AB116" s="1">
        <f>[22]Shi_etal_2016_Fig2!B4</f>
        <v>3.8554216867469801E-9</v>
      </c>
      <c r="AC116" s="1"/>
      <c r="AF116" s="2"/>
      <c r="AG116" s="2"/>
      <c r="AK116" t="s">
        <v>199</v>
      </c>
    </row>
    <row r="117" spans="1:37" hidden="1" x14ac:dyDescent="0.25">
      <c r="A117" t="s">
        <v>45</v>
      </c>
      <c r="B117" t="s">
        <v>32</v>
      </c>
      <c r="C117" t="s">
        <v>33</v>
      </c>
      <c r="D117" t="s">
        <v>34</v>
      </c>
      <c r="E117" t="s">
        <v>17</v>
      </c>
      <c r="F117" t="s">
        <v>614</v>
      </c>
      <c r="G117" t="s">
        <v>614</v>
      </c>
      <c r="H117" t="s">
        <v>801</v>
      </c>
      <c r="I117" t="s">
        <v>804</v>
      </c>
      <c r="K117" t="s">
        <v>46</v>
      </c>
      <c r="L117" t="s">
        <v>48</v>
      </c>
      <c r="M117" t="str">
        <f t="shared" si="18"/>
        <v>Stress</v>
      </c>
      <c r="N117" t="s">
        <v>47</v>
      </c>
      <c r="O117" t="str">
        <f t="shared" si="19"/>
        <v>Stress</v>
      </c>
      <c r="R117" t="s">
        <v>408</v>
      </c>
      <c r="S117" t="s">
        <v>701</v>
      </c>
      <c r="T117" t="s">
        <v>695</v>
      </c>
      <c r="U117" t="s">
        <v>609</v>
      </c>
      <c r="V117" s="1"/>
      <c r="W117" s="1"/>
      <c r="X117" s="1"/>
      <c r="Y117" s="1"/>
      <c r="Z117" s="1"/>
      <c r="AA117" s="1"/>
      <c r="AB117" s="1">
        <f>[22]Shi_etal_2016_Fig2!B5</f>
        <v>2.0120481927710799E-8</v>
      </c>
      <c r="AC117" s="1"/>
      <c r="AF117" s="2"/>
      <c r="AG117" s="2"/>
      <c r="AK117" t="s">
        <v>199</v>
      </c>
    </row>
    <row r="118" spans="1:37" hidden="1" x14ac:dyDescent="0.25">
      <c r="A118" t="s">
        <v>563</v>
      </c>
      <c r="B118" t="s">
        <v>14</v>
      </c>
      <c r="C118" t="s">
        <v>15</v>
      </c>
      <c r="D118" t="s">
        <v>16</v>
      </c>
      <c r="E118" t="s">
        <v>17</v>
      </c>
      <c r="F118" t="s">
        <v>18</v>
      </c>
      <c r="G118" t="s">
        <v>18</v>
      </c>
      <c r="H118" t="s">
        <v>18</v>
      </c>
      <c r="I118" t="s">
        <v>704</v>
      </c>
      <c r="J118">
        <f t="shared" ref="J118:J125" si="20">3+AVERAGE(4,5)</f>
        <v>7.5</v>
      </c>
      <c r="K118" t="s">
        <v>637</v>
      </c>
      <c r="L118" t="s">
        <v>36</v>
      </c>
      <c r="M118" t="str">
        <f t="shared" si="18"/>
        <v>Control</v>
      </c>
      <c r="N118" t="s">
        <v>36</v>
      </c>
      <c r="O118" t="str">
        <f t="shared" si="19"/>
        <v>Control</v>
      </c>
      <c r="P118" t="s">
        <v>564</v>
      </c>
      <c r="Q118" t="s">
        <v>707</v>
      </c>
      <c r="R118" t="s">
        <v>408</v>
      </c>
      <c r="S118" t="s">
        <v>701</v>
      </c>
      <c r="T118" t="s">
        <v>695</v>
      </c>
      <c r="U118" t="s">
        <v>610</v>
      </c>
      <c r="V118" s="1" t="s">
        <v>733</v>
      </c>
      <c r="W118" s="1">
        <f>+X118*AG118</f>
        <v>5.0749999999999993E-12</v>
      </c>
      <c r="X118" s="1">
        <f>0.00000029/3600</f>
        <v>8.0555555555555544E-11</v>
      </c>
      <c r="Y118" s="1"/>
      <c r="Z118" s="1"/>
      <c r="AA118" s="1"/>
      <c r="AC118" s="1"/>
      <c r="AF118" s="2"/>
      <c r="AG118" s="5">
        <v>6.3E-2</v>
      </c>
      <c r="AK118" t="s">
        <v>348</v>
      </c>
    </row>
    <row r="119" spans="1:37" hidden="1" x14ac:dyDescent="0.25">
      <c r="A119" t="s">
        <v>563</v>
      </c>
      <c r="B119" t="s">
        <v>14</v>
      </c>
      <c r="C119" t="s">
        <v>15</v>
      </c>
      <c r="D119" t="s">
        <v>16</v>
      </c>
      <c r="E119" t="s">
        <v>17</v>
      </c>
      <c r="F119" t="s">
        <v>18</v>
      </c>
      <c r="G119" t="s">
        <v>18</v>
      </c>
      <c r="H119" t="s">
        <v>18</v>
      </c>
      <c r="I119" t="s">
        <v>704</v>
      </c>
      <c r="J119">
        <f t="shared" si="20"/>
        <v>7.5</v>
      </c>
      <c r="K119" t="s">
        <v>637</v>
      </c>
      <c r="L119" t="s">
        <v>36</v>
      </c>
      <c r="M119" t="str">
        <f t="shared" si="18"/>
        <v>Control</v>
      </c>
      <c r="N119" t="s">
        <v>36</v>
      </c>
      <c r="O119" t="str">
        <f t="shared" si="19"/>
        <v>Control</v>
      </c>
      <c r="P119" t="s">
        <v>565</v>
      </c>
      <c r="Q119" t="s">
        <v>707</v>
      </c>
      <c r="R119" t="s">
        <v>408</v>
      </c>
      <c r="S119" t="s">
        <v>701</v>
      </c>
      <c r="T119" t="s">
        <v>695</v>
      </c>
      <c r="U119" t="s">
        <v>610</v>
      </c>
      <c r="V119" s="1" t="s">
        <v>733</v>
      </c>
      <c r="W119" s="1">
        <f t="shared" ref="W119:W125" si="21">+X119*AG119</f>
        <v>2.0400000000000002E-12</v>
      </c>
      <c r="X119" s="1">
        <f>0.000000136/3600</f>
        <v>3.7777777777777781E-11</v>
      </c>
      <c r="Y119" s="1"/>
      <c r="Z119" s="1"/>
      <c r="AA119" s="1"/>
      <c r="AC119" s="1"/>
      <c r="AF119" s="2"/>
      <c r="AG119" s="5">
        <v>5.3999999999999999E-2</v>
      </c>
      <c r="AK119" t="s">
        <v>348</v>
      </c>
    </row>
    <row r="120" spans="1:37" hidden="1" x14ac:dyDescent="0.25">
      <c r="A120" t="s">
        <v>563</v>
      </c>
      <c r="B120" t="s">
        <v>14</v>
      </c>
      <c r="C120" t="s">
        <v>15</v>
      </c>
      <c r="D120" t="s">
        <v>16</v>
      </c>
      <c r="E120" t="s">
        <v>17</v>
      </c>
      <c r="F120" t="s">
        <v>18</v>
      </c>
      <c r="G120" t="s">
        <v>18</v>
      </c>
      <c r="H120" t="s">
        <v>18</v>
      </c>
      <c r="I120" t="s">
        <v>704</v>
      </c>
      <c r="J120">
        <f t="shared" si="20"/>
        <v>7.5</v>
      </c>
      <c r="K120" t="s">
        <v>637</v>
      </c>
      <c r="L120" t="s">
        <v>703</v>
      </c>
      <c r="M120" t="str">
        <f t="shared" si="18"/>
        <v>Stress</v>
      </c>
      <c r="N120" t="s">
        <v>36</v>
      </c>
      <c r="O120" t="str">
        <f t="shared" si="19"/>
        <v>Control</v>
      </c>
      <c r="P120" t="s">
        <v>564</v>
      </c>
      <c r="Q120" t="s">
        <v>707</v>
      </c>
      <c r="R120" t="s">
        <v>408</v>
      </c>
      <c r="S120" t="s">
        <v>701</v>
      </c>
      <c r="T120" t="s">
        <v>695</v>
      </c>
      <c r="U120" t="s">
        <v>610</v>
      </c>
      <c r="V120" s="1" t="s">
        <v>733</v>
      </c>
      <c r="W120" s="1">
        <f t="shared" si="21"/>
        <v>2.9749999999999997E-12</v>
      </c>
      <c r="X120" s="1">
        <f>0.00000017/3600</f>
        <v>4.7222222222222216E-11</v>
      </c>
      <c r="Y120" s="1"/>
      <c r="Z120" s="1"/>
      <c r="AA120" s="1"/>
      <c r="AC120" s="1"/>
      <c r="AF120" s="2"/>
      <c r="AG120" s="5">
        <v>6.3E-2</v>
      </c>
      <c r="AK120" t="s">
        <v>348</v>
      </c>
    </row>
    <row r="121" spans="1:37" hidden="1" x14ac:dyDescent="0.25">
      <c r="A121" t="s">
        <v>563</v>
      </c>
      <c r="B121" t="s">
        <v>14</v>
      </c>
      <c r="C121" t="s">
        <v>15</v>
      </c>
      <c r="D121" t="s">
        <v>16</v>
      </c>
      <c r="E121" t="s">
        <v>17</v>
      </c>
      <c r="F121" t="s">
        <v>18</v>
      </c>
      <c r="G121" t="s">
        <v>18</v>
      </c>
      <c r="H121" t="s">
        <v>18</v>
      </c>
      <c r="I121" t="s">
        <v>704</v>
      </c>
      <c r="J121">
        <f t="shared" si="20"/>
        <v>7.5</v>
      </c>
      <c r="K121" t="s">
        <v>637</v>
      </c>
      <c r="L121" t="s">
        <v>703</v>
      </c>
      <c r="M121" t="str">
        <f t="shared" si="18"/>
        <v>Stress</v>
      </c>
      <c r="N121" t="s">
        <v>36</v>
      </c>
      <c r="O121" t="str">
        <f t="shared" si="19"/>
        <v>Control</v>
      </c>
      <c r="P121" t="s">
        <v>565</v>
      </c>
      <c r="Q121" t="s">
        <v>707</v>
      </c>
      <c r="R121" t="s">
        <v>408</v>
      </c>
      <c r="S121" t="s">
        <v>701</v>
      </c>
      <c r="T121" t="s">
        <v>695</v>
      </c>
      <c r="U121" t="s">
        <v>610</v>
      </c>
      <c r="V121" s="1" t="s">
        <v>733</v>
      </c>
      <c r="W121" s="1">
        <f t="shared" si="21"/>
        <v>1.0200000000000001E-12</v>
      </c>
      <c r="X121" s="1">
        <f>0.000000068/3600</f>
        <v>1.888888888888889E-11</v>
      </c>
      <c r="Y121" s="1"/>
      <c r="Z121" s="1"/>
      <c r="AA121" s="1"/>
      <c r="AC121" s="1"/>
      <c r="AF121" s="2"/>
      <c r="AG121" s="5">
        <v>5.3999999999999999E-2</v>
      </c>
      <c r="AK121" t="s">
        <v>348</v>
      </c>
    </row>
    <row r="122" spans="1:37" hidden="1" x14ac:dyDescent="0.25">
      <c r="A122" t="s">
        <v>563</v>
      </c>
      <c r="B122" t="s">
        <v>14</v>
      </c>
      <c r="C122" t="s">
        <v>15</v>
      </c>
      <c r="D122" t="s">
        <v>16</v>
      </c>
      <c r="E122" t="s">
        <v>17</v>
      </c>
      <c r="F122" t="s">
        <v>18</v>
      </c>
      <c r="G122" t="s">
        <v>18</v>
      </c>
      <c r="H122" t="s">
        <v>18</v>
      </c>
      <c r="I122" t="s">
        <v>704</v>
      </c>
      <c r="J122">
        <f t="shared" si="20"/>
        <v>7.5</v>
      </c>
      <c r="K122" t="s">
        <v>637</v>
      </c>
      <c r="L122" t="s">
        <v>36</v>
      </c>
      <c r="M122" t="str">
        <f t="shared" si="18"/>
        <v>Control</v>
      </c>
      <c r="N122" t="s">
        <v>76</v>
      </c>
      <c r="O122" t="str">
        <f t="shared" si="19"/>
        <v>Stress</v>
      </c>
      <c r="P122" t="s">
        <v>564</v>
      </c>
      <c r="Q122" t="s">
        <v>707</v>
      </c>
      <c r="R122" t="s">
        <v>408</v>
      </c>
      <c r="S122" t="s">
        <v>701</v>
      </c>
      <c r="T122" t="s">
        <v>695</v>
      </c>
      <c r="U122" t="s">
        <v>610</v>
      </c>
      <c r="V122" s="1" t="s">
        <v>733</v>
      </c>
      <c r="W122" s="1">
        <f t="shared" si="21"/>
        <v>1.0675E-11</v>
      </c>
      <c r="X122" s="1">
        <f>0.00000061/3600</f>
        <v>1.6944444444444445E-10</v>
      </c>
      <c r="Y122" s="1"/>
      <c r="Z122" s="1"/>
      <c r="AA122" s="1"/>
      <c r="AC122" s="1"/>
      <c r="AF122" s="2"/>
      <c r="AG122" s="5">
        <v>6.3E-2</v>
      </c>
      <c r="AK122" t="s">
        <v>348</v>
      </c>
    </row>
    <row r="123" spans="1:37" hidden="1" x14ac:dyDescent="0.25">
      <c r="A123" t="s">
        <v>563</v>
      </c>
      <c r="B123" t="s">
        <v>14</v>
      </c>
      <c r="C123" t="s">
        <v>15</v>
      </c>
      <c r="D123" t="s">
        <v>16</v>
      </c>
      <c r="E123" t="s">
        <v>17</v>
      </c>
      <c r="F123" t="s">
        <v>18</v>
      </c>
      <c r="G123" t="s">
        <v>18</v>
      </c>
      <c r="H123" t="s">
        <v>18</v>
      </c>
      <c r="I123" t="s">
        <v>704</v>
      </c>
      <c r="J123">
        <f t="shared" si="20"/>
        <v>7.5</v>
      </c>
      <c r="K123" t="s">
        <v>637</v>
      </c>
      <c r="L123" t="s">
        <v>36</v>
      </c>
      <c r="M123" t="str">
        <f t="shared" si="18"/>
        <v>Control</v>
      </c>
      <c r="N123" t="s">
        <v>76</v>
      </c>
      <c r="O123" t="str">
        <f t="shared" si="19"/>
        <v>Stress</v>
      </c>
      <c r="P123" t="s">
        <v>565</v>
      </c>
      <c r="Q123" t="s">
        <v>707</v>
      </c>
      <c r="R123" t="s">
        <v>408</v>
      </c>
      <c r="S123" t="s">
        <v>701</v>
      </c>
      <c r="T123" t="s">
        <v>695</v>
      </c>
      <c r="U123" t="s">
        <v>610</v>
      </c>
      <c r="V123" s="1" t="s">
        <v>733</v>
      </c>
      <c r="W123" s="1">
        <f t="shared" si="21"/>
        <v>5.8500000000000003E-12</v>
      </c>
      <c r="X123" s="1">
        <f>0.00000039/3600</f>
        <v>1.0833333333333333E-10</v>
      </c>
      <c r="Y123" s="1"/>
      <c r="Z123" s="1"/>
      <c r="AA123" s="1"/>
      <c r="AC123" s="1"/>
      <c r="AF123" s="2"/>
      <c r="AG123" s="5">
        <v>5.3999999999999999E-2</v>
      </c>
      <c r="AK123" t="s">
        <v>348</v>
      </c>
    </row>
    <row r="124" spans="1:37" hidden="1" x14ac:dyDescent="0.25">
      <c r="A124" t="s">
        <v>563</v>
      </c>
      <c r="B124" t="s">
        <v>14</v>
      </c>
      <c r="C124" t="s">
        <v>15</v>
      </c>
      <c r="D124" t="s">
        <v>16</v>
      </c>
      <c r="E124" t="s">
        <v>17</v>
      </c>
      <c r="F124" t="s">
        <v>18</v>
      </c>
      <c r="G124" t="s">
        <v>18</v>
      </c>
      <c r="H124" t="s">
        <v>18</v>
      </c>
      <c r="I124" t="s">
        <v>704</v>
      </c>
      <c r="J124">
        <f t="shared" si="20"/>
        <v>7.5</v>
      </c>
      <c r="K124" t="s">
        <v>637</v>
      </c>
      <c r="L124" t="s">
        <v>703</v>
      </c>
      <c r="M124" t="str">
        <f t="shared" si="18"/>
        <v>Stress</v>
      </c>
      <c r="N124" t="s">
        <v>76</v>
      </c>
      <c r="O124" t="str">
        <f t="shared" si="19"/>
        <v>Stress</v>
      </c>
      <c r="P124" t="s">
        <v>564</v>
      </c>
      <c r="Q124" t="s">
        <v>707</v>
      </c>
      <c r="R124" t="s">
        <v>408</v>
      </c>
      <c r="S124" t="s">
        <v>701</v>
      </c>
      <c r="T124" t="s">
        <v>695</v>
      </c>
      <c r="U124" t="s">
        <v>610</v>
      </c>
      <c r="V124" s="1" t="s">
        <v>733</v>
      </c>
      <c r="W124" s="1">
        <f t="shared" si="21"/>
        <v>3.22E-12</v>
      </c>
      <c r="X124" s="1">
        <f>0.000000184/3600</f>
        <v>5.1111111111111113E-11</v>
      </c>
      <c r="Y124" s="1"/>
      <c r="Z124" s="1"/>
      <c r="AA124" s="1"/>
      <c r="AC124" s="1"/>
      <c r="AF124" s="2"/>
      <c r="AG124" s="5">
        <v>6.3E-2</v>
      </c>
      <c r="AK124" t="s">
        <v>348</v>
      </c>
    </row>
    <row r="125" spans="1:37" hidden="1" x14ac:dyDescent="0.25">
      <c r="A125" t="s">
        <v>563</v>
      </c>
      <c r="B125" t="s">
        <v>14</v>
      </c>
      <c r="C125" t="s">
        <v>15</v>
      </c>
      <c r="D125" t="s">
        <v>16</v>
      </c>
      <c r="E125" t="s">
        <v>17</v>
      </c>
      <c r="F125" t="s">
        <v>18</v>
      </c>
      <c r="G125" t="s">
        <v>18</v>
      </c>
      <c r="H125" t="s">
        <v>18</v>
      </c>
      <c r="I125" t="s">
        <v>704</v>
      </c>
      <c r="J125">
        <f t="shared" si="20"/>
        <v>7.5</v>
      </c>
      <c r="K125" t="s">
        <v>637</v>
      </c>
      <c r="L125" t="s">
        <v>703</v>
      </c>
      <c r="M125" t="str">
        <f t="shared" si="18"/>
        <v>Stress</v>
      </c>
      <c r="N125" t="s">
        <v>76</v>
      </c>
      <c r="O125" t="str">
        <f t="shared" si="19"/>
        <v>Stress</v>
      </c>
      <c r="P125" t="s">
        <v>565</v>
      </c>
      <c r="Q125" t="s">
        <v>707</v>
      </c>
      <c r="R125" t="s">
        <v>408</v>
      </c>
      <c r="S125" t="s">
        <v>701</v>
      </c>
      <c r="T125" t="s">
        <v>695</v>
      </c>
      <c r="U125" t="s">
        <v>610</v>
      </c>
      <c r="V125" s="1" t="s">
        <v>733</v>
      </c>
      <c r="W125" s="1">
        <f t="shared" si="21"/>
        <v>1.3350000000000001E-12</v>
      </c>
      <c r="X125" s="1">
        <f>0.000000089/3600</f>
        <v>2.4722222222222223E-11</v>
      </c>
      <c r="Y125" s="1"/>
      <c r="Z125" s="1"/>
      <c r="AA125" s="1"/>
      <c r="AC125" s="1"/>
      <c r="AF125" s="2"/>
      <c r="AG125" s="5">
        <v>5.3999999999999999E-2</v>
      </c>
      <c r="AK125" t="s">
        <v>348</v>
      </c>
    </row>
    <row r="126" spans="1:37" hidden="1" x14ac:dyDescent="0.25">
      <c r="A126" t="s">
        <v>235</v>
      </c>
      <c r="B126" t="s">
        <v>236</v>
      </c>
      <c r="C126" t="s">
        <v>151</v>
      </c>
      <c r="D126" t="s">
        <v>152</v>
      </c>
      <c r="E126" t="s">
        <v>17</v>
      </c>
      <c r="F126" t="s">
        <v>69</v>
      </c>
      <c r="G126" t="s">
        <v>763</v>
      </c>
      <c r="H126" t="s">
        <v>760</v>
      </c>
      <c r="I126" t="s">
        <v>705</v>
      </c>
      <c r="J126">
        <f>10*30</f>
        <v>300</v>
      </c>
      <c r="K126" t="s">
        <v>756</v>
      </c>
      <c r="L126" t="s">
        <v>756</v>
      </c>
      <c r="M126" t="s">
        <v>756</v>
      </c>
      <c r="R126" t="s">
        <v>408</v>
      </c>
      <c r="S126" t="s">
        <v>701</v>
      </c>
      <c r="T126" t="s">
        <v>695</v>
      </c>
      <c r="U126" t="s">
        <v>609</v>
      </c>
      <c r="V126" s="1" t="s">
        <v>774</v>
      </c>
      <c r="W126" s="1">
        <f>104.03*0.0000000001</f>
        <v>1.0403000000000001E-8</v>
      </c>
      <c r="X126" s="1"/>
      <c r="Y126">
        <f>28.12*0.0000000001</f>
        <v>2.8120000000000002E-9</v>
      </c>
      <c r="AF126">
        <v>3.7</v>
      </c>
      <c r="AK126" t="s">
        <v>44</v>
      </c>
    </row>
    <row r="127" spans="1:37" hidden="1" x14ac:dyDescent="0.25">
      <c r="A127" t="s">
        <v>235</v>
      </c>
      <c r="B127" t="s">
        <v>237</v>
      </c>
      <c r="C127" t="s">
        <v>151</v>
      </c>
      <c r="D127" t="s">
        <v>152</v>
      </c>
      <c r="E127" t="s">
        <v>17</v>
      </c>
      <c r="F127" t="s">
        <v>69</v>
      </c>
      <c r="G127" t="s">
        <v>763</v>
      </c>
      <c r="H127" t="s">
        <v>760</v>
      </c>
      <c r="I127" t="s">
        <v>705</v>
      </c>
      <c r="J127">
        <f>10*30</f>
        <v>300</v>
      </c>
      <c r="K127" t="s">
        <v>756</v>
      </c>
      <c r="L127" t="s">
        <v>756</v>
      </c>
      <c r="M127" t="s">
        <v>756</v>
      </c>
      <c r="R127" t="s">
        <v>408</v>
      </c>
      <c r="S127" t="s">
        <v>701</v>
      </c>
      <c r="T127" t="s">
        <v>695</v>
      </c>
      <c r="U127" t="s">
        <v>609</v>
      </c>
      <c r="V127" s="1" t="s">
        <v>774</v>
      </c>
      <c r="W127" s="1">
        <f>52.87*0.0000000001</f>
        <v>5.2869999999999996E-9</v>
      </c>
      <c r="X127" s="1"/>
      <c r="Y127">
        <f>14.37*0.0000000001</f>
        <v>1.4369999999999999E-9</v>
      </c>
      <c r="AF127">
        <v>3.68</v>
      </c>
      <c r="AK127" t="s">
        <v>44</v>
      </c>
    </row>
    <row r="128" spans="1:37" hidden="1" x14ac:dyDescent="0.25">
      <c r="A128" t="s">
        <v>49</v>
      </c>
      <c r="B128" t="s">
        <v>50</v>
      </c>
      <c r="C128" t="s">
        <v>51</v>
      </c>
      <c r="D128" t="s">
        <v>16</v>
      </c>
      <c r="E128" t="s">
        <v>29</v>
      </c>
      <c r="F128" t="s">
        <v>30</v>
      </c>
      <c r="G128" t="s">
        <v>30</v>
      </c>
      <c r="H128" t="s">
        <v>30</v>
      </c>
      <c r="I128" t="s">
        <v>704</v>
      </c>
      <c r="J128">
        <v>18</v>
      </c>
      <c r="K128" t="s">
        <v>61</v>
      </c>
      <c r="L128" t="s">
        <v>36</v>
      </c>
      <c r="M128" t="str">
        <f t="shared" ref="M128:M143" si="22">+IF(L128 = "Control", "Control", "Stress")</f>
        <v>Control</v>
      </c>
      <c r="R128" t="s">
        <v>408</v>
      </c>
      <c r="S128" t="s">
        <v>701</v>
      </c>
      <c r="T128" t="s">
        <v>695</v>
      </c>
      <c r="U128" t="s">
        <v>609</v>
      </c>
      <c r="V128" s="1" t="s">
        <v>774</v>
      </c>
      <c r="W128" s="1">
        <f>[23]Niu_etal_2016_Fig1a_c!B2</f>
        <v>3.49425287356321E-10</v>
      </c>
      <c r="X128" s="1"/>
      <c r="Y128" s="1"/>
      <c r="Z128" s="1"/>
      <c r="AA128" s="1"/>
      <c r="AB128" s="1">
        <f>[24]Niu_etal_2016_Fig2!$C$2</f>
        <v>1.68004027361202E-7</v>
      </c>
      <c r="AC128" s="1"/>
      <c r="AD128" s="3">
        <f>+W128/AB128*10000</f>
        <v>20.798625654673771</v>
      </c>
      <c r="AF128" s="2"/>
      <c r="AG128" s="2"/>
      <c r="AK128" t="s">
        <v>199</v>
      </c>
    </row>
    <row r="129" spans="1:37" hidden="1" x14ac:dyDescent="0.25">
      <c r="A129" t="s">
        <v>49</v>
      </c>
      <c r="B129" t="s">
        <v>50</v>
      </c>
      <c r="C129" t="s">
        <v>51</v>
      </c>
      <c r="D129" t="s">
        <v>16</v>
      </c>
      <c r="E129" t="s">
        <v>29</v>
      </c>
      <c r="F129" t="s">
        <v>30</v>
      </c>
      <c r="G129" t="s">
        <v>30</v>
      </c>
      <c r="H129" t="s">
        <v>30</v>
      </c>
      <c r="I129" t="s">
        <v>704</v>
      </c>
      <c r="J129">
        <v>18</v>
      </c>
      <c r="K129" t="s">
        <v>61</v>
      </c>
      <c r="L129" t="s">
        <v>36</v>
      </c>
      <c r="M129" t="str">
        <f t="shared" si="22"/>
        <v>Control</v>
      </c>
      <c r="R129" t="s">
        <v>408</v>
      </c>
      <c r="S129" t="s">
        <v>701</v>
      </c>
      <c r="T129" t="s">
        <v>695</v>
      </c>
      <c r="U129" t="s">
        <v>609</v>
      </c>
      <c r="V129" s="1" t="s">
        <v>774</v>
      </c>
      <c r="W129" s="1">
        <f>[23]Niu_etal_2016_Fig1a_c!B3</f>
        <v>3.5172413793103402E-10</v>
      </c>
      <c r="X129" s="2"/>
      <c r="Y129" s="1"/>
      <c r="Z129" s="1"/>
      <c r="AA129" s="1"/>
      <c r="AC129" s="1"/>
      <c r="AD129" s="3"/>
      <c r="AF129" s="2"/>
      <c r="AG129" s="2"/>
      <c r="AK129" t="s">
        <v>199</v>
      </c>
    </row>
    <row r="130" spans="1:37" hidden="1" x14ac:dyDescent="0.25">
      <c r="A130" t="s">
        <v>49</v>
      </c>
      <c r="B130" t="s">
        <v>50</v>
      </c>
      <c r="C130" t="s">
        <v>51</v>
      </c>
      <c r="D130" t="s">
        <v>16</v>
      </c>
      <c r="E130" t="s">
        <v>29</v>
      </c>
      <c r="F130" t="s">
        <v>30</v>
      </c>
      <c r="G130" t="s">
        <v>30</v>
      </c>
      <c r="H130" t="s">
        <v>30</v>
      </c>
      <c r="I130" t="s">
        <v>704</v>
      </c>
      <c r="J130">
        <v>18</v>
      </c>
      <c r="K130" t="s">
        <v>61</v>
      </c>
      <c r="L130" t="s">
        <v>36</v>
      </c>
      <c r="M130" t="str">
        <f t="shared" si="22"/>
        <v>Control</v>
      </c>
      <c r="R130" t="s">
        <v>408</v>
      </c>
      <c r="S130" t="s">
        <v>701</v>
      </c>
      <c r="T130" t="s">
        <v>695</v>
      </c>
      <c r="U130" t="s">
        <v>609</v>
      </c>
      <c r="V130" s="1" t="s">
        <v>774</v>
      </c>
      <c r="W130" s="1">
        <f>[23]Niu_etal_2016_Fig1a_c!B4</f>
        <v>3.7011494252873498E-10</v>
      </c>
      <c r="X130" s="1"/>
      <c r="Y130" s="1"/>
      <c r="Z130" s="1"/>
      <c r="AA130" s="1"/>
      <c r="AB130" s="1">
        <f>[24]Niu_etal_2016_Fig2!$C$4</f>
        <v>1.7972813899762101E-7</v>
      </c>
      <c r="AC130" s="1"/>
      <c r="AD130" s="3">
        <f t="shared" ref="AD130:AD136" si="23">+W130/AB130*10000</f>
        <v>20.593043726649505</v>
      </c>
      <c r="AF130" s="2"/>
      <c r="AG130" s="2"/>
      <c r="AK130" t="s">
        <v>199</v>
      </c>
    </row>
    <row r="131" spans="1:37" hidden="1" x14ac:dyDescent="0.25">
      <c r="A131" t="s">
        <v>49</v>
      </c>
      <c r="B131" t="s">
        <v>50</v>
      </c>
      <c r="C131" t="s">
        <v>51</v>
      </c>
      <c r="D131" t="s">
        <v>16</v>
      </c>
      <c r="E131" t="s">
        <v>29</v>
      </c>
      <c r="F131" t="s">
        <v>30</v>
      </c>
      <c r="G131" t="s">
        <v>30</v>
      </c>
      <c r="H131" t="s">
        <v>30</v>
      </c>
      <c r="I131" t="s">
        <v>704</v>
      </c>
      <c r="J131">
        <v>18</v>
      </c>
      <c r="K131" t="s">
        <v>61</v>
      </c>
      <c r="L131" t="s">
        <v>587</v>
      </c>
      <c r="M131" t="str">
        <f t="shared" si="22"/>
        <v>Stress</v>
      </c>
      <c r="R131" t="s">
        <v>408</v>
      </c>
      <c r="S131" t="s">
        <v>701</v>
      </c>
      <c r="T131" t="s">
        <v>695</v>
      </c>
      <c r="U131" t="s">
        <v>609</v>
      </c>
      <c r="V131" s="1" t="s">
        <v>774</v>
      </c>
      <c r="W131" s="1">
        <f>[23]Niu_etal_2016_Fig1a_c!B5</f>
        <v>3.4022988505747099E-10</v>
      </c>
      <c r="X131" s="1"/>
      <c r="Y131" s="1"/>
      <c r="Z131" s="1"/>
      <c r="AA131" s="1"/>
      <c r="AB131" s="1">
        <f>[24]Niu_etal_2016_Fig2!$C$7</f>
        <v>1.68000497065618E-7</v>
      </c>
      <c r="AC131" s="1"/>
      <c r="AD131" s="3">
        <f t="shared" si="23"/>
        <v>20.251718953223289</v>
      </c>
      <c r="AF131" s="2"/>
      <c r="AG131" s="2"/>
      <c r="AK131" t="s">
        <v>199</v>
      </c>
    </row>
    <row r="132" spans="1:37" hidden="1" x14ac:dyDescent="0.25">
      <c r="A132" t="s">
        <v>49</v>
      </c>
      <c r="B132" t="s">
        <v>50</v>
      </c>
      <c r="C132" t="s">
        <v>51</v>
      </c>
      <c r="D132" t="s">
        <v>16</v>
      </c>
      <c r="E132" t="s">
        <v>29</v>
      </c>
      <c r="F132" t="s">
        <v>30</v>
      </c>
      <c r="G132" t="s">
        <v>30</v>
      </c>
      <c r="H132" t="s">
        <v>30</v>
      </c>
      <c r="I132" t="s">
        <v>704</v>
      </c>
      <c r="J132">
        <v>18</v>
      </c>
      <c r="K132" t="s">
        <v>61</v>
      </c>
      <c r="L132" t="s">
        <v>36</v>
      </c>
      <c r="M132" t="str">
        <f t="shared" si="22"/>
        <v>Control</v>
      </c>
      <c r="R132" t="s">
        <v>408</v>
      </c>
      <c r="S132" t="s">
        <v>701</v>
      </c>
      <c r="T132" t="s">
        <v>695</v>
      </c>
      <c r="U132" t="s">
        <v>609</v>
      </c>
      <c r="V132" s="1" t="s">
        <v>774</v>
      </c>
      <c r="W132" s="1">
        <f>[23]Niu_etal_2016_Fig1a_c!B6</f>
        <v>3.3793103448275802E-10</v>
      </c>
      <c r="X132" s="1"/>
      <c r="Y132" s="1"/>
      <c r="Z132" s="1"/>
      <c r="AA132" s="1"/>
      <c r="AB132" s="1">
        <f>[24]Niu_etal_2016_Fig2!$C$5</f>
        <v>1.6565991109303501E-7</v>
      </c>
      <c r="AC132" s="1"/>
      <c r="AD132" s="3">
        <f t="shared" si="23"/>
        <v>20.39908341451271</v>
      </c>
      <c r="AF132" s="2"/>
      <c r="AG132" s="2"/>
      <c r="AK132" t="s">
        <v>199</v>
      </c>
    </row>
    <row r="133" spans="1:37" hidden="1" x14ac:dyDescent="0.25">
      <c r="A133" t="s">
        <v>49</v>
      </c>
      <c r="B133" t="s">
        <v>50</v>
      </c>
      <c r="C133" t="s">
        <v>51</v>
      </c>
      <c r="D133" t="s">
        <v>16</v>
      </c>
      <c r="E133" t="s">
        <v>29</v>
      </c>
      <c r="F133" t="s">
        <v>30</v>
      </c>
      <c r="G133" t="s">
        <v>30</v>
      </c>
      <c r="H133" t="s">
        <v>30</v>
      </c>
      <c r="I133" t="s">
        <v>704</v>
      </c>
      <c r="J133">
        <v>18</v>
      </c>
      <c r="K133" t="s">
        <v>61</v>
      </c>
      <c r="L133" t="s">
        <v>588</v>
      </c>
      <c r="M133" t="str">
        <f t="shared" si="22"/>
        <v>Stress</v>
      </c>
      <c r="R133" t="s">
        <v>408</v>
      </c>
      <c r="S133" t="s">
        <v>701</v>
      </c>
      <c r="T133" t="s">
        <v>695</v>
      </c>
      <c r="U133" t="s">
        <v>609</v>
      </c>
      <c r="V133" s="1" t="s">
        <v>774</v>
      </c>
      <c r="W133" s="1">
        <f>[23]Niu_etal_2016_Fig1a_c!B7</f>
        <v>3.05747126436781E-10</v>
      </c>
      <c r="X133" s="1"/>
      <c r="Y133" s="1"/>
      <c r="Z133" s="1"/>
      <c r="AA133" s="1"/>
      <c r="AB133" s="1">
        <f>[24]Niu_etal_2016_Fig2!$C$8</f>
        <v>1.5745197385886701E-7</v>
      </c>
      <c r="AC133" s="1"/>
      <c r="AD133" s="3">
        <f t="shared" si="23"/>
        <v>19.418437187128514</v>
      </c>
      <c r="AF133" s="2"/>
      <c r="AG133" s="2"/>
      <c r="AK133" t="s">
        <v>199</v>
      </c>
    </row>
    <row r="134" spans="1:37" hidden="1" x14ac:dyDescent="0.25">
      <c r="A134" t="s">
        <v>49</v>
      </c>
      <c r="B134" t="s">
        <v>50</v>
      </c>
      <c r="C134" t="s">
        <v>51</v>
      </c>
      <c r="D134" t="s">
        <v>16</v>
      </c>
      <c r="E134" t="s">
        <v>29</v>
      </c>
      <c r="F134" t="s">
        <v>30</v>
      </c>
      <c r="G134" t="s">
        <v>30</v>
      </c>
      <c r="H134" t="s">
        <v>30</v>
      </c>
      <c r="I134" t="s">
        <v>704</v>
      </c>
      <c r="J134">
        <v>18</v>
      </c>
      <c r="K134" t="s">
        <v>61</v>
      </c>
      <c r="L134" t="s">
        <v>36</v>
      </c>
      <c r="M134" t="str">
        <f t="shared" si="22"/>
        <v>Control</v>
      </c>
      <c r="R134" t="s">
        <v>408</v>
      </c>
      <c r="S134" t="s">
        <v>701</v>
      </c>
      <c r="T134" t="s">
        <v>695</v>
      </c>
      <c r="U134" t="s">
        <v>609</v>
      </c>
      <c r="V134" s="1" t="s">
        <v>774</v>
      </c>
      <c r="W134" s="1">
        <f>[23]Niu_etal_2016_Fig1a_c!B8</f>
        <v>3.05747126436781E-10</v>
      </c>
      <c r="X134" s="1"/>
      <c r="Y134" s="1"/>
      <c r="Z134" s="1"/>
      <c r="AA134" s="1"/>
      <c r="AB134" s="1">
        <f>[24]Niu_etal_2016_Fig2!$C$6</f>
        <v>1.4925109721586701E-7</v>
      </c>
      <c r="AC134" s="1"/>
      <c r="AD134" s="3">
        <f t="shared" si="23"/>
        <v>20.485419011330173</v>
      </c>
      <c r="AF134" s="2"/>
      <c r="AG134" s="2"/>
      <c r="AK134" t="s">
        <v>199</v>
      </c>
    </row>
    <row r="135" spans="1:37" hidden="1" x14ac:dyDescent="0.25">
      <c r="A135" t="s">
        <v>49</v>
      </c>
      <c r="B135" t="s">
        <v>50</v>
      </c>
      <c r="C135" t="s">
        <v>51</v>
      </c>
      <c r="D135" t="s">
        <v>16</v>
      </c>
      <c r="E135" t="s">
        <v>29</v>
      </c>
      <c r="F135" t="s">
        <v>30</v>
      </c>
      <c r="G135" t="s">
        <v>30</v>
      </c>
      <c r="H135" t="s">
        <v>30</v>
      </c>
      <c r="I135" t="s">
        <v>704</v>
      </c>
      <c r="J135">
        <v>18</v>
      </c>
      <c r="K135" t="s">
        <v>61</v>
      </c>
      <c r="L135" t="s">
        <v>589</v>
      </c>
      <c r="M135" t="str">
        <f t="shared" si="22"/>
        <v>Stress</v>
      </c>
      <c r="R135" t="s">
        <v>408</v>
      </c>
      <c r="S135" t="s">
        <v>701</v>
      </c>
      <c r="T135" t="s">
        <v>695</v>
      </c>
      <c r="U135" t="s">
        <v>609</v>
      </c>
      <c r="V135" s="1" t="s">
        <v>774</v>
      </c>
      <c r="W135" s="1">
        <f>[23]Niu_etal_2016_Fig1a_c!B9</f>
        <v>3.0114942528735599E-10</v>
      </c>
      <c r="X135" s="1"/>
      <c r="Y135" s="1"/>
      <c r="Z135" s="1"/>
      <c r="AA135" s="1"/>
      <c r="AB135" s="1">
        <f>[24]Niu_etal_2016_Fig2!$C$9</f>
        <v>1.49247566920282E-7</v>
      </c>
      <c r="AC135" s="1"/>
      <c r="AD135" s="3">
        <f t="shared" si="23"/>
        <v>20.177844872218902</v>
      </c>
      <c r="AF135" s="2"/>
      <c r="AG135" s="2"/>
      <c r="AK135" t="s">
        <v>199</v>
      </c>
    </row>
    <row r="136" spans="1:37" hidden="1" x14ac:dyDescent="0.25">
      <c r="A136" t="s">
        <v>49</v>
      </c>
      <c r="B136" t="s">
        <v>50</v>
      </c>
      <c r="C136" t="s">
        <v>51</v>
      </c>
      <c r="D136" t="s">
        <v>16</v>
      </c>
      <c r="E136" t="s">
        <v>29</v>
      </c>
      <c r="F136" t="s">
        <v>30</v>
      </c>
      <c r="G136" t="s">
        <v>30</v>
      </c>
      <c r="H136" t="s">
        <v>30</v>
      </c>
      <c r="I136" t="s">
        <v>704</v>
      </c>
      <c r="J136">
        <v>27</v>
      </c>
      <c r="K136" t="s">
        <v>61</v>
      </c>
      <c r="L136" t="s">
        <v>36</v>
      </c>
      <c r="M136" t="str">
        <f t="shared" si="22"/>
        <v>Control</v>
      </c>
      <c r="R136" t="s">
        <v>408</v>
      </c>
      <c r="S136" t="s">
        <v>701</v>
      </c>
      <c r="T136" t="s">
        <v>695</v>
      </c>
      <c r="U136" t="s">
        <v>609</v>
      </c>
      <c r="V136" s="1" t="s">
        <v>774</v>
      </c>
      <c r="W136" s="1">
        <f>[23]Niu_etal_2016_Fig1a_c!B10</f>
        <v>1.00229885057471E-9</v>
      </c>
      <c r="X136" s="1"/>
      <c r="Y136" s="1"/>
      <c r="Z136" s="1"/>
      <c r="AA136" s="1"/>
      <c r="AB136" s="1">
        <f>[24]Niu_etal_2016_Fig2!$C$10</f>
        <v>4.26654663661679E-7</v>
      </c>
      <c r="AC136" s="1"/>
      <c r="AD136" s="3">
        <f t="shared" si="23"/>
        <v>23.492040189428117</v>
      </c>
      <c r="AF136" s="2"/>
      <c r="AG136" s="2"/>
      <c r="AK136" t="s">
        <v>199</v>
      </c>
    </row>
    <row r="137" spans="1:37" hidden="1" x14ac:dyDescent="0.25">
      <c r="A137" t="s">
        <v>49</v>
      </c>
      <c r="B137" t="s">
        <v>50</v>
      </c>
      <c r="C137" t="s">
        <v>51</v>
      </c>
      <c r="D137" t="s">
        <v>16</v>
      </c>
      <c r="E137" t="s">
        <v>29</v>
      </c>
      <c r="F137" t="s">
        <v>30</v>
      </c>
      <c r="G137" t="s">
        <v>30</v>
      </c>
      <c r="H137" t="s">
        <v>30</v>
      </c>
      <c r="I137" t="s">
        <v>704</v>
      </c>
      <c r="J137">
        <v>27</v>
      </c>
      <c r="K137" t="s">
        <v>61</v>
      </c>
      <c r="L137" t="s">
        <v>36</v>
      </c>
      <c r="M137" t="str">
        <f t="shared" si="22"/>
        <v>Control</v>
      </c>
      <c r="R137" t="s">
        <v>408</v>
      </c>
      <c r="S137" t="s">
        <v>701</v>
      </c>
      <c r="T137" t="s">
        <v>695</v>
      </c>
      <c r="U137" t="s">
        <v>609</v>
      </c>
      <c r="V137" s="1" t="s">
        <v>774</v>
      </c>
      <c r="W137" s="1">
        <f>[23]Niu_etal_2016_Fig1a_c!B11</f>
        <v>9.9080459770114901E-10</v>
      </c>
      <c r="X137" s="1"/>
      <c r="Y137" s="1"/>
      <c r="Z137" s="1"/>
      <c r="AA137" s="1"/>
      <c r="AC137" s="1"/>
      <c r="AD137" s="3"/>
      <c r="AF137" s="2"/>
      <c r="AG137" s="2"/>
      <c r="AK137" t="s">
        <v>199</v>
      </c>
    </row>
    <row r="138" spans="1:37" hidden="1" x14ac:dyDescent="0.25">
      <c r="A138" t="s">
        <v>49</v>
      </c>
      <c r="B138" t="s">
        <v>50</v>
      </c>
      <c r="C138" t="s">
        <v>51</v>
      </c>
      <c r="D138" t="s">
        <v>16</v>
      </c>
      <c r="E138" t="s">
        <v>29</v>
      </c>
      <c r="F138" t="s">
        <v>30</v>
      </c>
      <c r="G138" t="s">
        <v>30</v>
      </c>
      <c r="H138" t="s">
        <v>30</v>
      </c>
      <c r="I138" t="s">
        <v>704</v>
      </c>
      <c r="J138">
        <v>27</v>
      </c>
      <c r="K138" t="s">
        <v>61</v>
      </c>
      <c r="L138" t="s">
        <v>36</v>
      </c>
      <c r="M138" t="str">
        <f t="shared" si="22"/>
        <v>Control</v>
      </c>
      <c r="R138" t="s">
        <v>408</v>
      </c>
      <c r="S138" t="s">
        <v>701</v>
      </c>
      <c r="T138" t="s">
        <v>695</v>
      </c>
      <c r="U138" t="s">
        <v>609</v>
      </c>
      <c r="V138" s="1" t="s">
        <v>774</v>
      </c>
      <c r="W138" s="1">
        <f>[23]Niu_etal_2016_Fig1a_c!B12</f>
        <v>9.9080459770114901E-10</v>
      </c>
      <c r="X138" s="1"/>
      <c r="Y138" s="1"/>
      <c r="Z138" s="1"/>
      <c r="AA138" s="1"/>
      <c r="AB138" s="1">
        <f>[24]Niu_etal_2016_Fig2!$C$12</f>
        <v>4.2079437299126098E-7</v>
      </c>
      <c r="AC138" s="1"/>
      <c r="AD138" s="3">
        <f t="shared" ref="AD138:AD143" si="24">+W138/AB138*10000</f>
        <v>23.546051499165984</v>
      </c>
      <c r="AF138" s="2"/>
      <c r="AG138" s="2"/>
      <c r="AK138" t="s">
        <v>199</v>
      </c>
    </row>
    <row r="139" spans="1:37" hidden="1" x14ac:dyDescent="0.25">
      <c r="A139" t="s">
        <v>49</v>
      </c>
      <c r="B139" t="s">
        <v>50</v>
      </c>
      <c r="C139" t="s">
        <v>51</v>
      </c>
      <c r="D139" t="s">
        <v>16</v>
      </c>
      <c r="E139" t="s">
        <v>29</v>
      </c>
      <c r="F139" t="s">
        <v>30</v>
      </c>
      <c r="G139" t="s">
        <v>30</v>
      </c>
      <c r="H139" t="s">
        <v>30</v>
      </c>
      <c r="I139" t="s">
        <v>704</v>
      </c>
      <c r="J139">
        <v>27</v>
      </c>
      <c r="K139" t="s">
        <v>61</v>
      </c>
      <c r="L139" t="s">
        <v>587</v>
      </c>
      <c r="M139" t="str">
        <f t="shared" si="22"/>
        <v>Stress</v>
      </c>
      <c r="R139" t="s">
        <v>408</v>
      </c>
      <c r="S139" t="s">
        <v>701</v>
      </c>
      <c r="T139" t="s">
        <v>695</v>
      </c>
      <c r="U139" t="s">
        <v>609</v>
      </c>
      <c r="V139" s="1" t="s">
        <v>774</v>
      </c>
      <c r="W139" s="1">
        <f>[23]Niu_etal_2016_Fig1a_c!B13</f>
        <v>5.9080459770114905E-10</v>
      </c>
      <c r="X139" s="1"/>
      <c r="Y139" s="1"/>
      <c r="Z139" s="1"/>
      <c r="AA139" s="1"/>
      <c r="AB139" s="1">
        <f>[24]Niu_etal_2016_Fig2!$C$15</f>
        <v>2.6959887369449599E-7</v>
      </c>
      <c r="AC139" s="1"/>
      <c r="AD139" s="3">
        <f t="shared" si="24"/>
        <v>21.914208676206744</v>
      </c>
      <c r="AF139" s="2"/>
      <c r="AG139" s="2"/>
      <c r="AK139" t="s">
        <v>199</v>
      </c>
    </row>
    <row r="140" spans="1:37" hidden="1" x14ac:dyDescent="0.25">
      <c r="A140" t="s">
        <v>49</v>
      </c>
      <c r="B140" t="s">
        <v>50</v>
      </c>
      <c r="C140" t="s">
        <v>51</v>
      </c>
      <c r="D140" t="s">
        <v>16</v>
      </c>
      <c r="E140" t="s">
        <v>29</v>
      </c>
      <c r="F140" t="s">
        <v>30</v>
      </c>
      <c r="G140" t="s">
        <v>30</v>
      </c>
      <c r="H140" t="s">
        <v>30</v>
      </c>
      <c r="I140" t="s">
        <v>704</v>
      </c>
      <c r="J140">
        <v>27</v>
      </c>
      <c r="K140" t="s">
        <v>61</v>
      </c>
      <c r="L140" t="s">
        <v>36</v>
      </c>
      <c r="M140" t="str">
        <f t="shared" si="22"/>
        <v>Control</v>
      </c>
      <c r="R140" t="s">
        <v>408</v>
      </c>
      <c r="S140" t="s">
        <v>701</v>
      </c>
      <c r="T140" t="s">
        <v>695</v>
      </c>
      <c r="U140" t="s">
        <v>609</v>
      </c>
      <c r="V140" s="1" t="s">
        <v>774</v>
      </c>
      <c r="W140" s="1">
        <f>[23]Niu_etal_2016_Fig1a_c!B14</f>
        <v>1.0137931034482699E-9</v>
      </c>
      <c r="X140" s="1"/>
      <c r="Y140" s="1"/>
      <c r="Z140" s="1"/>
      <c r="AA140" s="1"/>
      <c r="AB140" s="1">
        <f>[24]Niu_etal_2016_Fig2!$C$13</f>
        <v>4.5478405887968099E-7</v>
      </c>
      <c r="AC140" s="1"/>
      <c r="AD140" s="3">
        <f t="shared" si="24"/>
        <v>22.291746679636411</v>
      </c>
      <c r="AF140" s="2"/>
      <c r="AG140" s="2"/>
      <c r="AK140" t="s">
        <v>199</v>
      </c>
    </row>
    <row r="141" spans="1:37" hidden="1" x14ac:dyDescent="0.25">
      <c r="A141" t="s">
        <v>49</v>
      </c>
      <c r="B141" t="s">
        <v>50</v>
      </c>
      <c r="C141" t="s">
        <v>51</v>
      </c>
      <c r="D141" t="s">
        <v>16</v>
      </c>
      <c r="E141" t="s">
        <v>29</v>
      </c>
      <c r="F141" t="s">
        <v>30</v>
      </c>
      <c r="G141" t="s">
        <v>30</v>
      </c>
      <c r="H141" t="s">
        <v>30</v>
      </c>
      <c r="I141" t="s">
        <v>704</v>
      </c>
      <c r="J141">
        <v>27</v>
      </c>
      <c r="K141" t="s">
        <v>61</v>
      </c>
      <c r="L141" t="s">
        <v>588</v>
      </c>
      <c r="M141" t="str">
        <f t="shared" si="22"/>
        <v>Stress</v>
      </c>
      <c r="R141" t="s">
        <v>408</v>
      </c>
      <c r="S141" t="s">
        <v>701</v>
      </c>
      <c r="T141" t="s">
        <v>695</v>
      </c>
      <c r="U141" t="s">
        <v>609</v>
      </c>
      <c r="V141" s="1" t="s">
        <v>774</v>
      </c>
      <c r="W141" s="1">
        <f>[23]Niu_etal_2016_Fig1a_c!B15</f>
        <v>4.4367816091954002E-10</v>
      </c>
      <c r="X141" s="1"/>
      <c r="Y141" s="1"/>
      <c r="Z141" s="1"/>
      <c r="AA141" s="1"/>
      <c r="AB141" s="1">
        <f>[24]Niu_etal_2016_Fig2!$C$16</f>
        <v>2.01619501917656E-7</v>
      </c>
      <c r="AC141" s="1"/>
      <c r="AD141" s="3">
        <f t="shared" si="24"/>
        <v>22.005716545254824</v>
      </c>
      <c r="AF141" s="2"/>
      <c r="AG141" s="2"/>
      <c r="AK141" t="s">
        <v>199</v>
      </c>
    </row>
    <row r="142" spans="1:37" hidden="1" x14ac:dyDescent="0.25">
      <c r="A142" t="s">
        <v>49</v>
      </c>
      <c r="B142" t="s">
        <v>50</v>
      </c>
      <c r="C142" t="s">
        <v>51</v>
      </c>
      <c r="D142" t="s">
        <v>16</v>
      </c>
      <c r="E142" t="s">
        <v>29</v>
      </c>
      <c r="F142" t="s">
        <v>30</v>
      </c>
      <c r="G142" t="s">
        <v>30</v>
      </c>
      <c r="H142" t="s">
        <v>30</v>
      </c>
      <c r="I142" t="s">
        <v>704</v>
      </c>
      <c r="J142">
        <v>27</v>
      </c>
      <c r="K142" t="s">
        <v>61</v>
      </c>
      <c r="L142" t="s">
        <v>36</v>
      </c>
      <c r="M142" t="str">
        <f t="shared" si="22"/>
        <v>Control</v>
      </c>
      <c r="R142" t="s">
        <v>408</v>
      </c>
      <c r="S142" t="s">
        <v>701</v>
      </c>
      <c r="T142" t="s">
        <v>695</v>
      </c>
      <c r="U142" t="s">
        <v>609</v>
      </c>
      <c r="V142" s="1" t="s">
        <v>774</v>
      </c>
      <c r="W142" s="1">
        <f>[23]Niu_etal_2016_Fig1a_c!B16</f>
        <v>9.4252873563218302E-10</v>
      </c>
      <c r="X142" s="1"/>
      <c r="Y142" s="1"/>
      <c r="Z142" s="1"/>
      <c r="AA142" s="1"/>
      <c r="AB142" s="1">
        <f>[24]Niu_etal_2016_Fig2!$C$14</f>
        <v>4.1141790791859399E-7</v>
      </c>
      <c r="AC142" s="1"/>
      <c r="AD142" s="3">
        <f t="shared" si="24"/>
        <v>22.90927831509654</v>
      </c>
      <c r="AF142" s="2"/>
      <c r="AG142" s="2"/>
      <c r="AK142" t="s">
        <v>199</v>
      </c>
    </row>
    <row r="143" spans="1:37" hidden="1" x14ac:dyDescent="0.25">
      <c r="A143" t="s">
        <v>49</v>
      </c>
      <c r="B143" t="s">
        <v>50</v>
      </c>
      <c r="C143" t="s">
        <v>51</v>
      </c>
      <c r="D143" t="s">
        <v>16</v>
      </c>
      <c r="E143" t="s">
        <v>29</v>
      </c>
      <c r="F143" t="s">
        <v>30</v>
      </c>
      <c r="G143" t="s">
        <v>30</v>
      </c>
      <c r="H143" t="s">
        <v>30</v>
      </c>
      <c r="I143" t="s">
        <v>704</v>
      </c>
      <c r="J143">
        <v>27</v>
      </c>
      <c r="K143" t="s">
        <v>61</v>
      </c>
      <c r="L143" t="s">
        <v>589</v>
      </c>
      <c r="M143" t="str">
        <f t="shared" si="22"/>
        <v>Stress</v>
      </c>
      <c r="R143" t="s">
        <v>408</v>
      </c>
      <c r="S143" t="s">
        <v>701</v>
      </c>
      <c r="T143" t="s">
        <v>695</v>
      </c>
      <c r="U143" t="s">
        <v>609</v>
      </c>
      <c r="V143" s="1" t="s">
        <v>774</v>
      </c>
      <c r="W143" s="1">
        <f>[23]Niu_etal_2016_Fig1a_c!B17</f>
        <v>3.5632183908045898E-10</v>
      </c>
      <c r="X143" s="1"/>
      <c r="Y143" s="1"/>
      <c r="Z143" s="1"/>
      <c r="AA143" s="1"/>
      <c r="AB143" s="1">
        <f>[24]Niu_etal_2016_Fig2!$C$17</f>
        <v>1.68215845096278E-7</v>
      </c>
      <c r="AC143" s="1"/>
      <c r="AD143" s="3">
        <f t="shared" si="24"/>
        <v>21.182418271983764</v>
      </c>
      <c r="AF143" s="2"/>
      <c r="AG143" s="2"/>
      <c r="AK143" t="s">
        <v>199</v>
      </c>
    </row>
    <row r="144" spans="1:37" hidden="1" x14ac:dyDescent="0.25">
      <c r="A144" t="s">
        <v>52</v>
      </c>
      <c r="B144" t="s">
        <v>53</v>
      </c>
      <c r="C144" t="s">
        <v>54</v>
      </c>
      <c r="D144" t="s">
        <v>16</v>
      </c>
      <c r="E144" t="s">
        <v>17</v>
      </c>
      <c r="F144" t="s">
        <v>18</v>
      </c>
      <c r="G144" t="s">
        <v>18</v>
      </c>
      <c r="H144" t="s">
        <v>18</v>
      </c>
      <c r="I144" t="s">
        <v>704</v>
      </c>
      <c r="J144">
        <v>21</v>
      </c>
      <c r="K144" t="s">
        <v>756</v>
      </c>
      <c r="L144" t="s">
        <v>756</v>
      </c>
      <c r="M144" t="s">
        <v>756</v>
      </c>
      <c r="R144" t="s">
        <v>408</v>
      </c>
      <c r="S144" t="s">
        <v>701</v>
      </c>
      <c r="T144" t="s">
        <v>695</v>
      </c>
      <c r="U144" t="s">
        <v>610</v>
      </c>
      <c r="V144" s="1"/>
      <c r="W144" s="1"/>
      <c r="X144" s="1"/>
      <c r="Y144" s="1"/>
      <c r="Z144" s="1"/>
      <c r="AA144" s="1"/>
      <c r="AB144" s="1">
        <v>6.1999999999999999E-8</v>
      </c>
      <c r="AC144" s="1"/>
      <c r="AD144" s="3"/>
      <c r="AF144" s="2"/>
      <c r="AG144" s="2"/>
      <c r="AK144" t="s">
        <v>348</v>
      </c>
    </row>
    <row r="145" spans="1:37" hidden="1" x14ac:dyDescent="0.25">
      <c r="A145" t="s">
        <v>52</v>
      </c>
      <c r="B145" t="s">
        <v>53</v>
      </c>
      <c r="C145" t="s">
        <v>54</v>
      </c>
      <c r="D145" t="s">
        <v>16</v>
      </c>
      <c r="E145" t="s">
        <v>17</v>
      </c>
      <c r="F145" t="s">
        <v>18</v>
      </c>
      <c r="G145" t="s">
        <v>18</v>
      </c>
      <c r="H145" t="s">
        <v>18</v>
      </c>
      <c r="I145" t="s">
        <v>704</v>
      </c>
      <c r="J145">
        <v>21</v>
      </c>
      <c r="K145" t="s">
        <v>756</v>
      </c>
      <c r="L145" t="s">
        <v>756</v>
      </c>
      <c r="M145" t="s">
        <v>756</v>
      </c>
      <c r="R145" t="s">
        <v>408</v>
      </c>
      <c r="S145" t="s">
        <v>701</v>
      </c>
      <c r="T145" t="s">
        <v>695</v>
      </c>
      <c r="U145" t="s">
        <v>609</v>
      </c>
      <c r="V145" s="1"/>
      <c r="W145" s="1"/>
      <c r="X145" s="1"/>
      <c r="Y145" s="1"/>
      <c r="Z145" s="1"/>
      <c r="AA145" s="1"/>
      <c r="AB145" s="1">
        <v>5.7999999999999995E-7</v>
      </c>
      <c r="AC145" s="1"/>
      <c r="AD145" s="3"/>
      <c r="AF145" s="2"/>
      <c r="AG145" s="2"/>
      <c r="AK145" t="s">
        <v>355</v>
      </c>
    </row>
    <row r="146" spans="1:37" hidden="1" x14ac:dyDescent="0.25">
      <c r="A146" t="s">
        <v>52</v>
      </c>
      <c r="B146" t="s">
        <v>53</v>
      </c>
      <c r="C146" t="s">
        <v>54</v>
      </c>
      <c r="D146" t="s">
        <v>16</v>
      </c>
      <c r="E146" t="s">
        <v>17</v>
      </c>
      <c r="F146" t="s">
        <v>18</v>
      </c>
      <c r="G146" t="s">
        <v>18</v>
      </c>
      <c r="H146" t="s">
        <v>18</v>
      </c>
      <c r="I146" t="s">
        <v>704</v>
      </c>
      <c r="J146">
        <v>21</v>
      </c>
      <c r="K146" t="s">
        <v>756</v>
      </c>
      <c r="L146" t="s">
        <v>756</v>
      </c>
      <c r="M146" t="s">
        <v>756</v>
      </c>
      <c r="R146" t="s">
        <v>408</v>
      </c>
      <c r="S146" t="s">
        <v>701</v>
      </c>
      <c r="T146" t="s">
        <v>695</v>
      </c>
      <c r="U146" t="s">
        <v>609</v>
      </c>
      <c r="V146" s="1"/>
      <c r="W146" s="1"/>
      <c r="X146" s="1"/>
      <c r="Y146" s="1"/>
      <c r="Z146" s="1"/>
      <c r="AA146" s="1"/>
      <c r="AB146" s="1">
        <v>1.1999999999999999E-7</v>
      </c>
      <c r="AC146" s="1"/>
      <c r="AF146" s="2"/>
      <c r="AG146" s="2"/>
      <c r="AK146" t="s">
        <v>199</v>
      </c>
    </row>
    <row r="147" spans="1:37" hidden="1" x14ac:dyDescent="0.25">
      <c r="A147" t="s">
        <v>543</v>
      </c>
      <c r="B147" t="s">
        <v>53</v>
      </c>
      <c r="C147" t="s">
        <v>54</v>
      </c>
      <c r="D147" t="s">
        <v>16</v>
      </c>
      <c r="E147" t="s">
        <v>17</v>
      </c>
      <c r="F147" t="s">
        <v>18</v>
      </c>
      <c r="G147" t="s">
        <v>18</v>
      </c>
      <c r="H147" t="s">
        <v>18</v>
      </c>
      <c r="I147" t="s">
        <v>704</v>
      </c>
      <c r="J147">
        <v>25</v>
      </c>
      <c r="K147" t="s">
        <v>638</v>
      </c>
      <c r="L147" t="s">
        <v>36</v>
      </c>
      <c r="M147" t="str">
        <f t="shared" ref="M147:M178" si="25">+IF(L147 = "Control", "Control", "Stress")</f>
        <v>Control</v>
      </c>
      <c r="N147" t="s">
        <v>697</v>
      </c>
      <c r="O147" t="s">
        <v>707</v>
      </c>
      <c r="P147" t="s">
        <v>425</v>
      </c>
      <c r="Q147" t="s">
        <v>707</v>
      </c>
      <c r="R147" t="s">
        <v>408</v>
      </c>
      <c r="S147" t="s">
        <v>701</v>
      </c>
      <c r="T147" t="s">
        <v>695</v>
      </c>
      <c r="U147" t="s">
        <v>609</v>
      </c>
      <c r="V147" s="1" t="s">
        <v>733</v>
      </c>
      <c r="W147" s="1">
        <f t="shared" ref="W147:W202" si="26">+AB147*AD147/10000</f>
        <v>7.0791954989328701E-10</v>
      </c>
      <c r="X147" s="1"/>
      <c r="Y147" s="1"/>
      <c r="Z147" s="1"/>
      <c r="AA147" s="1"/>
      <c r="AB147" s="1">
        <f>[25]Henry_etal_2016_Fig2b!B1</f>
        <v>1.08936170212765E-8</v>
      </c>
      <c r="AC147" s="1"/>
      <c r="AD147" s="3">
        <f>[26]Henry_etal_2016_FigS2b!B2</f>
        <v>649.84802431610899</v>
      </c>
      <c r="AF147" s="2"/>
      <c r="AG147" s="2"/>
      <c r="AK147" t="s">
        <v>199</v>
      </c>
    </row>
    <row r="148" spans="1:37" hidden="1" x14ac:dyDescent="0.25">
      <c r="A148" t="s">
        <v>543</v>
      </c>
      <c r="B148" t="s">
        <v>53</v>
      </c>
      <c r="C148" t="s">
        <v>54</v>
      </c>
      <c r="D148" t="s">
        <v>16</v>
      </c>
      <c r="E148" t="s">
        <v>17</v>
      </c>
      <c r="F148" t="s">
        <v>18</v>
      </c>
      <c r="G148" t="s">
        <v>18</v>
      </c>
      <c r="H148" t="s">
        <v>18</v>
      </c>
      <c r="I148" t="s">
        <v>704</v>
      </c>
      <c r="J148">
        <v>25</v>
      </c>
      <c r="K148" t="s">
        <v>638</v>
      </c>
      <c r="L148" t="s">
        <v>36</v>
      </c>
      <c r="M148" t="str">
        <f t="shared" si="25"/>
        <v>Control</v>
      </c>
      <c r="N148" t="s">
        <v>698</v>
      </c>
      <c r="O148" t="s">
        <v>707</v>
      </c>
      <c r="P148" t="s">
        <v>425</v>
      </c>
      <c r="Q148" t="s">
        <v>707</v>
      </c>
      <c r="R148" t="s">
        <v>408</v>
      </c>
      <c r="S148" t="s">
        <v>701</v>
      </c>
      <c r="T148" t="s">
        <v>695</v>
      </c>
      <c r="U148" t="s">
        <v>609</v>
      </c>
      <c r="V148" s="1" t="s">
        <v>733</v>
      </c>
      <c r="W148" s="1">
        <f t="shared" si="26"/>
        <v>5.2032335251891236E-10</v>
      </c>
      <c r="X148" s="1"/>
      <c r="Y148" s="1"/>
      <c r="Z148" s="1"/>
      <c r="AA148" s="1"/>
      <c r="AB148" s="1">
        <f>[25]Henry_etal_2016_Fig2b!B2</f>
        <v>1.73617021276595E-8</v>
      </c>
      <c r="AC148" s="1"/>
      <c r="AD148" s="3">
        <f>[26]Henry_etal_2016_FigS2b!B3</f>
        <v>299.69604863221798</v>
      </c>
      <c r="AF148" s="2"/>
      <c r="AG148" s="2"/>
      <c r="AK148" t="s">
        <v>199</v>
      </c>
    </row>
    <row r="149" spans="1:37" hidden="1" x14ac:dyDescent="0.25">
      <c r="A149" t="s">
        <v>543</v>
      </c>
      <c r="B149" t="s">
        <v>53</v>
      </c>
      <c r="C149" t="s">
        <v>54</v>
      </c>
      <c r="D149" t="s">
        <v>16</v>
      </c>
      <c r="E149" t="s">
        <v>17</v>
      </c>
      <c r="F149" t="s">
        <v>18</v>
      </c>
      <c r="G149" t="s">
        <v>18</v>
      </c>
      <c r="H149" t="s">
        <v>18</v>
      </c>
      <c r="I149" t="s">
        <v>704</v>
      </c>
      <c r="J149">
        <v>25</v>
      </c>
      <c r="K149" t="s">
        <v>638</v>
      </c>
      <c r="L149" t="s">
        <v>36</v>
      </c>
      <c r="M149" t="str">
        <f t="shared" si="25"/>
        <v>Control</v>
      </c>
      <c r="N149" t="s">
        <v>699</v>
      </c>
      <c r="O149" t="s">
        <v>707</v>
      </c>
      <c r="P149" t="s">
        <v>425</v>
      </c>
      <c r="Q149" t="s">
        <v>707</v>
      </c>
      <c r="R149" t="s">
        <v>408</v>
      </c>
      <c r="S149" t="s">
        <v>701</v>
      </c>
      <c r="T149" t="s">
        <v>695</v>
      </c>
      <c r="U149" t="s">
        <v>609</v>
      </c>
      <c r="V149" s="1" t="s">
        <v>733</v>
      </c>
      <c r="W149" s="1">
        <f t="shared" si="26"/>
        <v>4.3006747289227862E-10</v>
      </c>
      <c r="X149" s="1"/>
      <c r="Y149" s="1"/>
      <c r="Z149" s="1"/>
      <c r="AA149" s="1"/>
      <c r="AB149" s="1">
        <f>[25]Henry_etal_2016_Fig2b!B3</f>
        <v>4.1985815602836796E-9</v>
      </c>
      <c r="AC149" s="1"/>
      <c r="AD149" s="3">
        <f>[26]Henry_etal_2016_FigS2b!B4</f>
        <v>1024.3161094224899</v>
      </c>
      <c r="AF149" s="2"/>
      <c r="AG149" s="2"/>
      <c r="AK149" t="s">
        <v>199</v>
      </c>
    </row>
    <row r="150" spans="1:37" hidden="1" x14ac:dyDescent="0.25">
      <c r="A150" t="s">
        <v>543</v>
      </c>
      <c r="B150" t="s">
        <v>53</v>
      </c>
      <c r="C150" t="s">
        <v>54</v>
      </c>
      <c r="D150" t="s">
        <v>16</v>
      </c>
      <c r="E150" t="s">
        <v>17</v>
      </c>
      <c r="F150" t="s">
        <v>18</v>
      </c>
      <c r="G150" t="s">
        <v>18</v>
      </c>
      <c r="H150" t="s">
        <v>18</v>
      </c>
      <c r="I150" t="s">
        <v>704</v>
      </c>
      <c r="J150">
        <v>25</v>
      </c>
      <c r="K150" t="s">
        <v>638</v>
      </c>
      <c r="L150" t="s">
        <v>36</v>
      </c>
      <c r="M150" t="str">
        <f t="shared" si="25"/>
        <v>Control</v>
      </c>
      <c r="N150" t="s">
        <v>700</v>
      </c>
      <c r="O150" t="s">
        <v>707</v>
      </c>
      <c r="P150" t="s">
        <v>425</v>
      </c>
      <c r="Q150" t="s">
        <v>707</v>
      </c>
      <c r="R150" t="s">
        <v>408</v>
      </c>
      <c r="S150" t="s">
        <v>701</v>
      </c>
      <c r="T150" t="s">
        <v>695</v>
      </c>
      <c r="U150" t="s">
        <v>609</v>
      </c>
      <c r="V150" s="1" t="s">
        <v>733</v>
      </c>
      <c r="W150" s="1">
        <f t="shared" si="26"/>
        <v>5.5405548729224393E-10</v>
      </c>
      <c r="X150" s="1"/>
      <c r="Y150" s="1"/>
      <c r="Z150" s="1"/>
      <c r="AA150" s="1"/>
      <c r="AB150" s="1">
        <f>[25]Henry_etal_2016_Fig2b!B4</f>
        <v>1.3957446808510601E-8</v>
      </c>
      <c r="AC150" s="1"/>
      <c r="AD150" s="3">
        <f>[26]Henry_etal_2016_FigS2b!B5</f>
        <v>396.96048632218799</v>
      </c>
      <c r="AF150" s="2"/>
      <c r="AG150" s="2"/>
      <c r="AK150" t="s">
        <v>199</v>
      </c>
    </row>
    <row r="151" spans="1:37" hidden="1" x14ac:dyDescent="0.25">
      <c r="A151" t="s">
        <v>543</v>
      </c>
      <c r="B151" t="s">
        <v>53</v>
      </c>
      <c r="C151" t="s">
        <v>54</v>
      </c>
      <c r="D151" t="s">
        <v>16</v>
      </c>
      <c r="E151" t="s">
        <v>17</v>
      </c>
      <c r="F151" t="s">
        <v>18</v>
      </c>
      <c r="G151" t="s">
        <v>18</v>
      </c>
      <c r="H151" t="s">
        <v>18</v>
      </c>
      <c r="I151" t="s">
        <v>704</v>
      </c>
      <c r="J151">
        <v>25</v>
      </c>
      <c r="K151" t="s">
        <v>638</v>
      </c>
      <c r="L151" t="s">
        <v>36</v>
      </c>
      <c r="M151" t="str">
        <f t="shared" si="25"/>
        <v>Control</v>
      </c>
      <c r="N151" t="s">
        <v>697</v>
      </c>
      <c r="O151" t="s">
        <v>707</v>
      </c>
      <c r="P151" t="s">
        <v>544</v>
      </c>
      <c r="Q151" t="s">
        <v>707</v>
      </c>
      <c r="R151" t="s">
        <v>408</v>
      </c>
      <c r="S151" t="s">
        <v>701</v>
      </c>
      <c r="T151" t="s">
        <v>695</v>
      </c>
      <c r="U151" t="s">
        <v>609</v>
      </c>
      <c r="V151" s="1" t="s">
        <v>733</v>
      </c>
      <c r="W151" s="1">
        <f t="shared" si="26"/>
        <v>2.6763586195003087E-10</v>
      </c>
      <c r="X151" s="1"/>
      <c r="Y151" s="1"/>
      <c r="Z151" s="1"/>
      <c r="AA151" s="1"/>
      <c r="AB151" s="1">
        <f>[25]Henry_etal_2016_Fig2b!B5</f>
        <v>4.3120567375886503E-9</v>
      </c>
      <c r="AC151" s="1"/>
      <c r="AD151" s="3">
        <f>[26]Henry_etal_2016_FigS2b!B6</f>
        <v>620.66869300911799</v>
      </c>
      <c r="AF151" s="2"/>
      <c r="AG151" s="2"/>
      <c r="AK151" t="s">
        <v>199</v>
      </c>
    </row>
    <row r="152" spans="1:37" hidden="1" x14ac:dyDescent="0.25">
      <c r="A152" t="s">
        <v>543</v>
      </c>
      <c r="B152" t="s">
        <v>53</v>
      </c>
      <c r="C152" t="s">
        <v>54</v>
      </c>
      <c r="D152" t="s">
        <v>16</v>
      </c>
      <c r="E152" t="s">
        <v>17</v>
      </c>
      <c r="F152" t="s">
        <v>18</v>
      </c>
      <c r="G152" t="s">
        <v>18</v>
      </c>
      <c r="H152" t="s">
        <v>18</v>
      </c>
      <c r="I152" t="s">
        <v>704</v>
      </c>
      <c r="J152">
        <v>25</v>
      </c>
      <c r="K152" t="s">
        <v>638</v>
      </c>
      <c r="L152" t="s">
        <v>36</v>
      </c>
      <c r="M152" t="str">
        <f t="shared" si="25"/>
        <v>Control</v>
      </c>
      <c r="N152" t="s">
        <v>698</v>
      </c>
      <c r="O152" t="s">
        <v>707</v>
      </c>
      <c r="P152" t="s">
        <v>544</v>
      </c>
      <c r="Q152" t="s">
        <v>707</v>
      </c>
      <c r="R152" t="s">
        <v>408</v>
      </c>
      <c r="S152" t="s">
        <v>701</v>
      </c>
      <c r="T152" t="s">
        <v>695</v>
      </c>
      <c r="U152" t="s">
        <v>609</v>
      </c>
      <c r="V152" s="1" t="s">
        <v>733</v>
      </c>
      <c r="W152" s="1">
        <f t="shared" si="26"/>
        <v>6.4401474487485882E-10</v>
      </c>
      <c r="X152" s="1"/>
      <c r="Y152" s="1"/>
      <c r="Z152" s="1"/>
      <c r="AA152" s="1"/>
      <c r="AB152" s="1">
        <f>[25]Henry_etal_2016_Fig2b!B6</f>
        <v>2.7234042553191399E-8</v>
      </c>
      <c r="AC152" s="1"/>
      <c r="AD152" s="3">
        <f>[26]Henry_etal_2016_FigS2b!B7</f>
        <v>236.47416413373799</v>
      </c>
      <c r="AF152" s="2"/>
      <c r="AG152" s="2"/>
      <c r="AK152" t="s">
        <v>199</v>
      </c>
    </row>
    <row r="153" spans="1:37" hidden="1" x14ac:dyDescent="0.25">
      <c r="A153" t="s">
        <v>543</v>
      </c>
      <c r="B153" t="s">
        <v>53</v>
      </c>
      <c r="C153" t="s">
        <v>54</v>
      </c>
      <c r="D153" t="s">
        <v>16</v>
      </c>
      <c r="E153" t="s">
        <v>17</v>
      </c>
      <c r="F153" t="s">
        <v>18</v>
      </c>
      <c r="G153" t="s">
        <v>18</v>
      </c>
      <c r="H153" t="s">
        <v>18</v>
      </c>
      <c r="I153" t="s">
        <v>704</v>
      </c>
      <c r="J153">
        <v>25</v>
      </c>
      <c r="K153" t="s">
        <v>638</v>
      </c>
      <c r="L153" t="s">
        <v>36</v>
      </c>
      <c r="M153" t="str">
        <f t="shared" si="25"/>
        <v>Control</v>
      </c>
      <c r="N153" t="s">
        <v>699</v>
      </c>
      <c r="O153" t="s">
        <v>707</v>
      </c>
      <c r="P153" t="s">
        <v>544</v>
      </c>
      <c r="Q153" t="s">
        <v>707</v>
      </c>
      <c r="R153" t="s">
        <v>408</v>
      </c>
      <c r="S153" t="s">
        <v>701</v>
      </c>
      <c r="T153" t="s">
        <v>695</v>
      </c>
      <c r="U153" t="s">
        <v>609</v>
      </c>
      <c r="V153" s="1" t="s">
        <v>733</v>
      </c>
      <c r="W153" s="1">
        <f t="shared" si="26"/>
        <v>1.4467843669835464E-9</v>
      </c>
      <c r="X153" s="1"/>
      <c r="Y153" s="1"/>
      <c r="Z153" s="1"/>
      <c r="AA153" s="1"/>
      <c r="AB153" s="1">
        <f>[25]Henry_etal_2016_Fig2b!B7</f>
        <v>1.61134751773049E-8</v>
      </c>
      <c r="AC153" s="1"/>
      <c r="AD153" s="3">
        <f>[26]Henry_etal_2016_FigS2b!B8</f>
        <v>897.872340425532</v>
      </c>
      <c r="AF153" s="2"/>
      <c r="AG153" s="2"/>
      <c r="AK153" t="s">
        <v>199</v>
      </c>
    </row>
    <row r="154" spans="1:37" hidden="1" x14ac:dyDescent="0.25">
      <c r="A154" t="s">
        <v>543</v>
      </c>
      <c r="B154" t="s">
        <v>53</v>
      </c>
      <c r="C154" t="s">
        <v>54</v>
      </c>
      <c r="D154" t="s">
        <v>16</v>
      </c>
      <c r="E154" t="s">
        <v>17</v>
      </c>
      <c r="F154" t="s">
        <v>18</v>
      </c>
      <c r="G154" t="s">
        <v>18</v>
      </c>
      <c r="H154" t="s">
        <v>18</v>
      </c>
      <c r="I154" t="s">
        <v>704</v>
      </c>
      <c r="J154">
        <v>25</v>
      </c>
      <c r="K154" t="s">
        <v>638</v>
      </c>
      <c r="L154" t="s">
        <v>36</v>
      </c>
      <c r="M154" t="str">
        <f t="shared" si="25"/>
        <v>Control</v>
      </c>
      <c r="N154" t="s">
        <v>700</v>
      </c>
      <c r="O154" t="s">
        <v>707</v>
      </c>
      <c r="P154" t="s">
        <v>544</v>
      </c>
      <c r="Q154" t="s">
        <v>707</v>
      </c>
      <c r="R154" t="s">
        <v>408</v>
      </c>
      <c r="S154" t="s">
        <v>701</v>
      </c>
      <c r="T154" t="s">
        <v>695</v>
      </c>
      <c r="U154" t="s">
        <v>609</v>
      </c>
      <c r="V154" s="1" t="s">
        <v>733</v>
      </c>
      <c r="W154" s="1">
        <f t="shared" si="26"/>
        <v>7.7443186962426049E-10</v>
      </c>
      <c r="X154" s="1"/>
      <c r="Y154" s="1"/>
      <c r="Z154" s="1"/>
      <c r="AA154" s="1"/>
      <c r="AB154" s="1">
        <f>[25]Henry_etal_2016_Fig2b!B8</f>
        <v>1.83829787234042E-8</v>
      </c>
      <c r="AC154" s="1"/>
      <c r="AD154" s="3">
        <f>[26]Henry_etal_2016_FigS2b!B9</f>
        <v>421.27659574467998</v>
      </c>
      <c r="AF154" s="2"/>
      <c r="AG154" s="2"/>
      <c r="AK154" t="s">
        <v>199</v>
      </c>
    </row>
    <row r="155" spans="1:37" hidden="1" x14ac:dyDescent="0.25">
      <c r="A155" t="s">
        <v>543</v>
      </c>
      <c r="B155" t="s">
        <v>53</v>
      </c>
      <c r="C155" t="s">
        <v>54</v>
      </c>
      <c r="D155" t="s">
        <v>16</v>
      </c>
      <c r="E155" t="s">
        <v>17</v>
      </c>
      <c r="F155" t="s">
        <v>18</v>
      </c>
      <c r="G155" t="s">
        <v>18</v>
      </c>
      <c r="H155" t="s">
        <v>18</v>
      </c>
      <c r="I155" t="s">
        <v>704</v>
      </c>
      <c r="J155">
        <v>25</v>
      </c>
      <c r="K155" t="s">
        <v>638</v>
      </c>
      <c r="L155" t="s">
        <v>36</v>
      </c>
      <c r="M155" t="str">
        <f t="shared" si="25"/>
        <v>Control</v>
      </c>
      <c r="N155" t="s">
        <v>697</v>
      </c>
      <c r="O155" t="s">
        <v>707</v>
      </c>
      <c r="P155" t="s">
        <v>426</v>
      </c>
      <c r="Q155" t="s">
        <v>707</v>
      </c>
      <c r="R155" t="s">
        <v>408</v>
      </c>
      <c r="S155" t="s">
        <v>701</v>
      </c>
      <c r="T155" t="s">
        <v>695</v>
      </c>
      <c r="U155" t="s">
        <v>609</v>
      </c>
      <c r="V155" s="1" t="s">
        <v>733</v>
      </c>
      <c r="W155" s="1">
        <f t="shared" si="26"/>
        <v>6.1307637586496746E-10</v>
      </c>
      <c r="X155" s="1"/>
      <c r="Y155" s="1"/>
      <c r="Z155" s="1"/>
      <c r="AA155" s="1"/>
      <c r="AB155" s="1">
        <f>[25]Henry_etal_2016_Fig2b!B9</f>
        <v>8.9645390070922001E-9</v>
      </c>
      <c r="AC155" s="1"/>
      <c r="AD155" s="3">
        <f>[26]Henry_etal_2016_FigS2b!B10</f>
        <v>683.89057750759798</v>
      </c>
      <c r="AF155" s="2"/>
      <c r="AG155" s="2"/>
      <c r="AK155" t="s">
        <v>199</v>
      </c>
    </row>
    <row r="156" spans="1:37" hidden="1" x14ac:dyDescent="0.25">
      <c r="A156" t="s">
        <v>543</v>
      </c>
      <c r="B156" t="s">
        <v>53</v>
      </c>
      <c r="C156" t="s">
        <v>54</v>
      </c>
      <c r="D156" t="s">
        <v>16</v>
      </c>
      <c r="E156" t="s">
        <v>17</v>
      </c>
      <c r="F156" t="s">
        <v>18</v>
      </c>
      <c r="G156" t="s">
        <v>18</v>
      </c>
      <c r="H156" t="s">
        <v>18</v>
      </c>
      <c r="I156" t="s">
        <v>704</v>
      </c>
      <c r="J156">
        <v>25</v>
      </c>
      <c r="K156" t="s">
        <v>638</v>
      </c>
      <c r="L156" t="s">
        <v>36</v>
      </c>
      <c r="M156" t="str">
        <f t="shared" si="25"/>
        <v>Control</v>
      </c>
      <c r="N156" t="s">
        <v>698</v>
      </c>
      <c r="O156" t="s">
        <v>707</v>
      </c>
      <c r="P156" t="s">
        <v>426</v>
      </c>
      <c r="Q156" t="s">
        <v>707</v>
      </c>
      <c r="R156" t="s">
        <v>408</v>
      </c>
      <c r="S156" t="s">
        <v>701</v>
      </c>
      <c r="T156" t="s">
        <v>695</v>
      </c>
      <c r="U156" t="s">
        <v>609</v>
      </c>
      <c r="V156" s="1" t="s">
        <v>733</v>
      </c>
      <c r="W156" s="1">
        <f t="shared" si="26"/>
        <v>4.7773394554743377E-10</v>
      </c>
      <c r="X156" s="1"/>
      <c r="Y156" s="1"/>
      <c r="Z156" s="1"/>
      <c r="AA156" s="1"/>
      <c r="AB156" s="1">
        <f>[25]Henry_etal_2016_Fig2b!B10</f>
        <v>1.94042553191489E-8</v>
      </c>
      <c r="AC156" s="1"/>
      <c r="AD156" s="3">
        <f>[26]Henry_etal_2016_FigS2b!B11</f>
        <v>246.20060790273499</v>
      </c>
      <c r="AF156" s="2"/>
      <c r="AG156" s="2"/>
      <c r="AK156" t="s">
        <v>199</v>
      </c>
    </row>
    <row r="157" spans="1:37" hidden="1" x14ac:dyDescent="0.25">
      <c r="A157" t="s">
        <v>543</v>
      </c>
      <c r="B157" t="s">
        <v>53</v>
      </c>
      <c r="C157" t="s">
        <v>54</v>
      </c>
      <c r="D157" t="s">
        <v>16</v>
      </c>
      <c r="E157" t="s">
        <v>17</v>
      </c>
      <c r="F157" t="s">
        <v>18</v>
      </c>
      <c r="G157" t="s">
        <v>18</v>
      </c>
      <c r="H157" t="s">
        <v>18</v>
      </c>
      <c r="I157" t="s">
        <v>704</v>
      </c>
      <c r="J157">
        <v>25</v>
      </c>
      <c r="K157" t="s">
        <v>638</v>
      </c>
      <c r="L157" t="s">
        <v>36</v>
      </c>
      <c r="M157" t="str">
        <f t="shared" si="25"/>
        <v>Control</v>
      </c>
      <c r="N157" t="s">
        <v>699</v>
      </c>
      <c r="O157" t="s">
        <v>707</v>
      </c>
      <c r="P157" t="s">
        <v>426</v>
      </c>
      <c r="Q157" t="s">
        <v>707</v>
      </c>
      <c r="R157" t="s">
        <v>408</v>
      </c>
      <c r="S157" t="s">
        <v>701</v>
      </c>
      <c r="T157" t="s">
        <v>695</v>
      </c>
      <c r="U157" t="s">
        <v>609</v>
      </c>
      <c r="V157" s="1" t="s">
        <v>733</v>
      </c>
      <c r="W157" s="1">
        <f t="shared" si="26"/>
        <v>1.1813697212701259E-9</v>
      </c>
      <c r="X157" s="1"/>
      <c r="Y157" s="1"/>
      <c r="Z157" s="1"/>
      <c r="AA157" s="1"/>
      <c r="AB157" s="1">
        <f>[25]Henry_etal_2016_Fig2b!B11</f>
        <v>1.6567375886524799E-8</v>
      </c>
      <c r="AC157" s="1"/>
      <c r="AD157" s="3">
        <f>[26]Henry_etal_2016_FigS2b!B12</f>
        <v>713.06990881458898</v>
      </c>
      <c r="AF157" s="2"/>
      <c r="AG157" s="2"/>
      <c r="AK157" t="s">
        <v>199</v>
      </c>
    </row>
    <row r="158" spans="1:37" hidden="1" x14ac:dyDescent="0.25">
      <c r="A158" t="s">
        <v>543</v>
      </c>
      <c r="B158" t="s">
        <v>53</v>
      </c>
      <c r="C158" t="s">
        <v>54</v>
      </c>
      <c r="D158" t="s">
        <v>16</v>
      </c>
      <c r="E158" t="s">
        <v>17</v>
      </c>
      <c r="F158" t="s">
        <v>18</v>
      </c>
      <c r="G158" t="s">
        <v>18</v>
      </c>
      <c r="H158" t="s">
        <v>18</v>
      </c>
      <c r="I158" t="s">
        <v>704</v>
      </c>
      <c r="J158">
        <v>25</v>
      </c>
      <c r="K158" t="s">
        <v>638</v>
      </c>
      <c r="L158" t="s">
        <v>36</v>
      </c>
      <c r="M158" t="str">
        <f t="shared" si="25"/>
        <v>Control</v>
      </c>
      <c r="N158" t="s">
        <v>700</v>
      </c>
      <c r="O158" t="s">
        <v>707</v>
      </c>
      <c r="P158" t="s">
        <v>426</v>
      </c>
      <c r="Q158" t="s">
        <v>707</v>
      </c>
      <c r="R158" t="s">
        <v>408</v>
      </c>
      <c r="S158" t="s">
        <v>701</v>
      </c>
      <c r="T158" t="s">
        <v>695</v>
      </c>
      <c r="U158" t="s">
        <v>609</v>
      </c>
      <c r="V158" s="1" t="s">
        <v>733</v>
      </c>
      <c r="W158" s="1">
        <f t="shared" si="26"/>
        <v>7.0337709370755696E-10</v>
      </c>
      <c r="X158" s="1"/>
      <c r="Y158" s="1"/>
      <c r="Z158" s="1"/>
      <c r="AA158" s="1"/>
      <c r="AB158" s="1">
        <f>[25]Henry_etal_2016_Fig2b!B12</f>
        <v>1.9914893617021199E-8</v>
      </c>
      <c r="AC158" s="1"/>
      <c r="AD158" s="3">
        <f>[26]Henry_etal_2016_FigS2b!B13</f>
        <v>353.191489361702</v>
      </c>
      <c r="AF158" s="2"/>
      <c r="AG158" s="2"/>
      <c r="AK158" t="s">
        <v>199</v>
      </c>
    </row>
    <row r="159" spans="1:37" hidden="1" x14ac:dyDescent="0.25">
      <c r="A159" t="s">
        <v>543</v>
      </c>
      <c r="B159" t="s">
        <v>53</v>
      </c>
      <c r="C159" t="s">
        <v>54</v>
      </c>
      <c r="D159" t="s">
        <v>16</v>
      </c>
      <c r="E159" t="s">
        <v>17</v>
      </c>
      <c r="F159" t="s">
        <v>18</v>
      </c>
      <c r="G159" t="s">
        <v>18</v>
      </c>
      <c r="H159" t="s">
        <v>18</v>
      </c>
      <c r="I159" t="s">
        <v>704</v>
      </c>
      <c r="J159">
        <v>25</v>
      </c>
      <c r="K159" t="s">
        <v>638</v>
      </c>
      <c r="L159" t="s">
        <v>36</v>
      </c>
      <c r="M159" t="str">
        <f t="shared" si="25"/>
        <v>Control</v>
      </c>
      <c r="N159" t="s">
        <v>697</v>
      </c>
      <c r="O159" t="s">
        <v>707</v>
      </c>
      <c r="P159" t="s">
        <v>545</v>
      </c>
      <c r="Q159" t="s">
        <v>707</v>
      </c>
      <c r="R159" t="s">
        <v>408</v>
      </c>
      <c r="S159" t="s">
        <v>701</v>
      </c>
      <c r="T159" t="s">
        <v>695</v>
      </c>
      <c r="U159" t="s">
        <v>609</v>
      </c>
      <c r="V159" s="1" t="s">
        <v>733</v>
      </c>
      <c r="W159" s="1">
        <f t="shared" si="26"/>
        <v>7.7852939274396496E-10</v>
      </c>
      <c r="X159" s="1"/>
      <c r="Y159" s="1"/>
      <c r="Z159" s="1"/>
      <c r="AA159" s="1"/>
      <c r="AB159" s="1">
        <f>[25]Henry_etal_2016_Fig2b!B13</f>
        <v>1.22553191489361E-8</v>
      </c>
      <c r="AC159" s="1"/>
      <c r="AD159" s="3">
        <f>[26]Henry_etal_2016_FigS2b!B14</f>
        <v>635.258358662614</v>
      </c>
      <c r="AF159" s="2"/>
      <c r="AG159" s="2"/>
      <c r="AK159" t="s">
        <v>199</v>
      </c>
    </row>
    <row r="160" spans="1:37" hidden="1" x14ac:dyDescent="0.25">
      <c r="A160" t="s">
        <v>543</v>
      </c>
      <c r="B160" t="s">
        <v>53</v>
      </c>
      <c r="C160" t="s">
        <v>54</v>
      </c>
      <c r="D160" t="s">
        <v>16</v>
      </c>
      <c r="E160" t="s">
        <v>17</v>
      </c>
      <c r="F160" t="s">
        <v>18</v>
      </c>
      <c r="G160" t="s">
        <v>18</v>
      </c>
      <c r="H160" t="s">
        <v>18</v>
      </c>
      <c r="I160" t="s">
        <v>704</v>
      </c>
      <c r="J160">
        <v>25</v>
      </c>
      <c r="K160" t="s">
        <v>638</v>
      </c>
      <c r="L160" t="s">
        <v>36</v>
      </c>
      <c r="M160" t="str">
        <f t="shared" si="25"/>
        <v>Control</v>
      </c>
      <c r="N160" t="s">
        <v>698</v>
      </c>
      <c r="O160" t="s">
        <v>707</v>
      </c>
      <c r="P160" t="s">
        <v>545</v>
      </c>
      <c r="Q160" t="s">
        <v>707</v>
      </c>
      <c r="R160" t="s">
        <v>408</v>
      </c>
      <c r="S160" t="s">
        <v>701</v>
      </c>
      <c r="T160" t="s">
        <v>695</v>
      </c>
      <c r="U160" t="s">
        <v>609</v>
      </c>
      <c r="V160" s="1" t="s">
        <v>733</v>
      </c>
      <c r="W160" s="1">
        <f t="shared" si="26"/>
        <v>5.6417512772424315E-10</v>
      </c>
      <c r="X160" s="1"/>
      <c r="Y160" s="1"/>
      <c r="Z160" s="1"/>
      <c r="AA160" s="1"/>
      <c r="AB160" s="1">
        <f>[25]Henry_etal_2016_Fig2b!B14</f>
        <v>2.9276595744680799E-8</v>
      </c>
      <c r="AC160" s="1"/>
      <c r="AD160" s="3">
        <f>[26]Henry_etal_2016_FigS2b!B15</f>
        <v>192.70516717325199</v>
      </c>
      <c r="AF160" s="2"/>
      <c r="AG160" s="2"/>
      <c r="AK160" t="s">
        <v>199</v>
      </c>
    </row>
    <row r="161" spans="1:37" hidden="1" x14ac:dyDescent="0.25">
      <c r="A161" t="s">
        <v>543</v>
      </c>
      <c r="B161" t="s">
        <v>53</v>
      </c>
      <c r="C161" t="s">
        <v>54</v>
      </c>
      <c r="D161" t="s">
        <v>16</v>
      </c>
      <c r="E161" t="s">
        <v>17</v>
      </c>
      <c r="F161" t="s">
        <v>18</v>
      </c>
      <c r="G161" t="s">
        <v>18</v>
      </c>
      <c r="H161" t="s">
        <v>18</v>
      </c>
      <c r="I161" t="s">
        <v>704</v>
      </c>
      <c r="J161">
        <v>25</v>
      </c>
      <c r="K161" t="s">
        <v>638</v>
      </c>
      <c r="L161" t="s">
        <v>36</v>
      </c>
      <c r="M161" t="str">
        <f t="shared" si="25"/>
        <v>Control</v>
      </c>
      <c r="N161" t="s">
        <v>699</v>
      </c>
      <c r="O161" t="s">
        <v>707</v>
      </c>
      <c r="P161" t="s">
        <v>545</v>
      </c>
      <c r="Q161" t="s">
        <v>707</v>
      </c>
      <c r="R161" t="s">
        <v>408</v>
      </c>
      <c r="S161" t="s">
        <v>701</v>
      </c>
      <c r="T161" t="s">
        <v>695</v>
      </c>
      <c r="U161" t="s">
        <v>609</v>
      </c>
      <c r="V161" s="1" t="s">
        <v>733</v>
      </c>
      <c r="W161" s="1">
        <f t="shared" si="26"/>
        <v>1.0043553428614483E-9</v>
      </c>
      <c r="X161" s="1"/>
      <c r="Y161" s="1"/>
      <c r="Z161" s="1"/>
      <c r="AA161" s="1"/>
      <c r="AB161" s="1">
        <f>[25]Henry_etal_2016_Fig2b!B15</f>
        <v>1.10070921985815E-8</v>
      </c>
      <c r="AC161" s="1"/>
      <c r="AD161" s="3">
        <f>[26]Henry_etal_2016_FigS2b!B16</f>
        <v>912.46200607902699</v>
      </c>
      <c r="AF161" s="2"/>
      <c r="AG161" s="2"/>
      <c r="AK161" t="s">
        <v>199</v>
      </c>
    </row>
    <row r="162" spans="1:37" hidden="1" x14ac:dyDescent="0.25">
      <c r="A162" t="s">
        <v>543</v>
      </c>
      <c r="B162" t="s">
        <v>53</v>
      </c>
      <c r="C162" t="s">
        <v>54</v>
      </c>
      <c r="D162" t="s">
        <v>16</v>
      </c>
      <c r="E162" t="s">
        <v>17</v>
      </c>
      <c r="F162" t="s">
        <v>18</v>
      </c>
      <c r="G162" t="s">
        <v>18</v>
      </c>
      <c r="H162" t="s">
        <v>18</v>
      </c>
      <c r="I162" t="s">
        <v>704</v>
      </c>
      <c r="J162">
        <v>25</v>
      </c>
      <c r="K162" t="s">
        <v>638</v>
      </c>
      <c r="L162" t="s">
        <v>36</v>
      </c>
      <c r="M162" t="str">
        <f t="shared" si="25"/>
        <v>Control</v>
      </c>
      <c r="N162" t="s">
        <v>700</v>
      </c>
      <c r="O162" t="s">
        <v>707</v>
      </c>
      <c r="P162" t="s">
        <v>545</v>
      </c>
      <c r="Q162" t="s">
        <v>707</v>
      </c>
      <c r="R162" t="s">
        <v>408</v>
      </c>
      <c r="S162" t="s">
        <v>701</v>
      </c>
      <c r="T162" t="s">
        <v>695</v>
      </c>
      <c r="U162" t="s">
        <v>609</v>
      </c>
      <c r="V162" s="1" t="s">
        <v>733</v>
      </c>
      <c r="W162" s="1">
        <f t="shared" si="26"/>
        <v>6.9413697212701108E-10</v>
      </c>
      <c r="X162" s="1"/>
      <c r="Y162" s="1"/>
      <c r="Z162" s="1"/>
      <c r="AA162" s="1"/>
      <c r="AB162" s="1">
        <f>[25]Henry_etal_2016_Fig2b!B16</f>
        <v>2.1106382978723399E-8</v>
      </c>
      <c r="AC162" s="1"/>
      <c r="AD162" s="3">
        <f>[26]Henry_etal_2016_FigS2b!B17</f>
        <v>328.87537993920898</v>
      </c>
      <c r="AF162" s="2"/>
      <c r="AG162" s="2"/>
      <c r="AK162" t="s">
        <v>199</v>
      </c>
    </row>
    <row r="163" spans="1:37" hidden="1" x14ac:dyDescent="0.25">
      <c r="A163" t="s">
        <v>543</v>
      </c>
      <c r="B163" t="s">
        <v>53</v>
      </c>
      <c r="C163" t="s">
        <v>54</v>
      </c>
      <c r="D163" t="s">
        <v>16</v>
      </c>
      <c r="E163" t="s">
        <v>17</v>
      </c>
      <c r="F163" t="s">
        <v>18</v>
      </c>
      <c r="G163" t="s">
        <v>18</v>
      </c>
      <c r="H163" t="s">
        <v>18</v>
      </c>
      <c r="I163" t="s">
        <v>704</v>
      </c>
      <c r="J163">
        <v>25</v>
      </c>
      <c r="K163" t="s">
        <v>638</v>
      </c>
      <c r="L163" t="s">
        <v>48</v>
      </c>
      <c r="M163" t="str">
        <f t="shared" si="25"/>
        <v>Stress</v>
      </c>
      <c r="N163" t="s">
        <v>697</v>
      </c>
      <c r="O163" t="s">
        <v>707</v>
      </c>
      <c r="P163" t="s">
        <v>425</v>
      </c>
      <c r="Q163" t="s">
        <v>707</v>
      </c>
      <c r="R163" t="s">
        <v>408</v>
      </c>
      <c r="S163" t="s">
        <v>701</v>
      </c>
      <c r="T163" t="s">
        <v>695</v>
      </c>
      <c r="U163" t="s">
        <v>609</v>
      </c>
      <c r="V163" s="1" t="s">
        <v>733</v>
      </c>
      <c r="W163" s="1">
        <f t="shared" si="26"/>
        <v>1.0135530285449014E-10</v>
      </c>
      <c r="X163" s="1"/>
      <c r="Y163" s="1"/>
      <c r="Z163" s="1"/>
      <c r="AA163" s="1"/>
      <c r="AB163" s="1">
        <f>[27]Henry_etal_2016_Fig2a!B2</f>
        <v>5.0071942446043096E-9</v>
      </c>
      <c r="AC163" s="1"/>
      <c r="AD163" s="3">
        <f>[28]Henry_etal_2016_FigS2a!B2</f>
        <v>202.41935483870901</v>
      </c>
      <c r="AF163" s="2"/>
      <c r="AG163" s="2"/>
      <c r="AK163" t="s">
        <v>199</v>
      </c>
    </row>
    <row r="164" spans="1:37" hidden="1" x14ac:dyDescent="0.25">
      <c r="A164" t="s">
        <v>543</v>
      </c>
      <c r="B164" t="s">
        <v>53</v>
      </c>
      <c r="C164" t="s">
        <v>54</v>
      </c>
      <c r="D164" t="s">
        <v>16</v>
      </c>
      <c r="E164" t="s">
        <v>17</v>
      </c>
      <c r="F164" t="s">
        <v>18</v>
      </c>
      <c r="G164" t="s">
        <v>18</v>
      </c>
      <c r="H164" t="s">
        <v>18</v>
      </c>
      <c r="I164" t="s">
        <v>704</v>
      </c>
      <c r="J164">
        <v>25</v>
      </c>
      <c r="K164" t="s">
        <v>638</v>
      </c>
      <c r="L164" t="s">
        <v>48</v>
      </c>
      <c r="M164" t="str">
        <f t="shared" si="25"/>
        <v>Stress</v>
      </c>
      <c r="N164" t="s">
        <v>698</v>
      </c>
      <c r="O164" t="s">
        <v>707</v>
      </c>
      <c r="P164" t="s">
        <v>425</v>
      </c>
      <c r="Q164" t="s">
        <v>707</v>
      </c>
      <c r="R164" t="s">
        <v>408</v>
      </c>
      <c r="S164" t="s">
        <v>701</v>
      </c>
      <c r="T164" t="s">
        <v>695</v>
      </c>
      <c r="U164" t="s">
        <v>609</v>
      </c>
      <c r="V164" s="1" t="s">
        <v>733</v>
      </c>
      <c r="W164" s="1">
        <f t="shared" si="26"/>
        <v>8.6716175446739047E-11</v>
      </c>
      <c r="X164" s="1"/>
      <c r="Y164" s="1"/>
      <c r="Z164" s="1"/>
      <c r="AA164" s="1"/>
      <c r="AB164" s="1">
        <f>[27]Henry_etal_2016_Fig2a!B3</f>
        <v>6.8489208633093503E-9</v>
      </c>
      <c r="AC164" s="1"/>
      <c r="AD164" s="3">
        <f>[28]Henry_etal_2016_FigS2a!B3</f>
        <v>126.61290322580599</v>
      </c>
      <c r="AF164" s="2"/>
      <c r="AG164" s="2"/>
      <c r="AK164" t="s">
        <v>199</v>
      </c>
    </row>
    <row r="165" spans="1:37" hidden="1" x14ac:dyDescent="0.25">
      <c r="A165" t="s">
        <v>543</v>
      </c>
      <c r="B165" t="s">
        <v>53</v>
      </c>
      <c r="C165" t="s">
        <v>54</v>
      </c>
      <c r="D165" t="s">
        <v>16</v>
      </c>
      <c r="E165" t="s">
        <v>17</v>
      </c>
      <c r="F165" t="s">
        <v>18</v>
      </c>
      <c r="G165" t="s">
        <v>18</v>
      </c>
      <c r="H165" t="s">
        <v>18</v>
      </c>
      <c r="I165" t="s">
        <v>704</v>
      </c>
      <c r="J165">
        <v>25</v>
      </c>
      <c r="K165" t="s">
        <v>638</v>
      </c>
      <c r="L165" t="s">
        <v>48</v>
      </c>
      <c r="M165" t="str">
        <f t="shared" si="25"/>
        <v>Stress</v>
      </c>
      <c r="N165" t="s">
        <v>699</v>
      </c>
      <c r="O165" t="s">
        <v>707</v>
      </c>
      <c r="P165" t="s">
        <v>425</v>
      </c>
      <c r="Q165" t="s">
        <v>707</v>
      </c>
      <c r="R165" t="s">
        <v>408</v>
      </c>
      <c r="S165" t="s">
        <v>701</v>
      </c>
      <c r="T165" t="s">
        <v>695</v>
      </c>
      <c r="U165" t="s">
        <v>609</v>
      </c>
      <c r="V165" s="1" t="s">
        <v>733</v>
      </c>
      <c r="W165" s="1">
        <f t="shared" si="26"/>
        <v>9.8479925736829271E-11</v>
      </c>
      <c r="X165" s="1"/>
      <c r="Y165" s="1"/>
      <c r="Z165" s="1"/>
      <c r="AA165" s="1"/>
      <c r="AB165" s="1">
        <f>[27]Henry_etal_2016_Fig2a!B4</f>
        <v>3.5395683453237299E-9</v>
      </c>
      <c r="AC165" s="1"/>
      <c r="AD165" s="3">
        <f>[28]Henry_etal_2016_FigS2a!B4</f>
        <v>278.22580645161202</v>
      </c>
      <c r="AF165" s="2"/>
      <c r="AG165" s="2"/>
      <c r="AK165" t="s">
        <v>199</v>
      </c>
    </row>
    <row r="166" spans="1:37" hidden="1" x14ac:dyDescent="0.25">
      <c r="A166" t="s">
        <v>543</v>
      </c>
      <c r="B166" t="s">
        <v>53</v>
      </c>
      <c r="C166" t="s">
        <v>54</v>
      </c>
      <c r="D166" t="s">
        <v>16</v>
      </c>
      <c r="E166" t="s">
        <v>17</v>
      </c>
      <c r="F166" t="s">
        <v>18</v>
      </c>
      <c r="G166" t="s">
        <v>18</v>
      </c>
      <c r="H166" t="s">
        <v>18</v>
      </c>
      <c r="I166" t="s">
        <v>704</v>
      </c>
      <c r="J166">
        <v>25</v>
      </c>
      <c r="K166" t="s">
        <v>638</v>
      </c>
      <c r="L166" t="s">
        <v>48</v>
      </c>
      <c r="M166" t="str">
        <f t="shared" si="25"/>
        <v>Stress</v>
      </c>
      <c r="N166" t="s">
        <v>700</v>
      </c>
      <c r="O166" t="s">
        <v>707</v>
      </c>
      <c r="P166" t="s">
        <v>425</v>
      </c>
      <c r="Q166" t="s">
        <v>707</v>
      </c>
      <c r="R166" t="s">
        <v>408</v>
      </c>
      <c r="S166" t="s">
        <v>701</v>
      </c>
      <c r="T166" t="s">
        <v>695</v>
      </c>
      <c r="U166" t="s">
        <v>609</v>
      </c>
      <c r="V166" s="1" t="s">
        <v>733</v>
      </c>
      <c r="W166" s="1">
        <f t="shared" si="26"/>
        <v>5.8888373172429276E-11</v>
      </c>
      <c r="X166" s="1"/>
      <c r="Y166" s="1"/>
      <c r="Z166" s="1"/>
      <c r="AA166" s="1"/>
      <c r="AB166" s="1">
        <f>[27]Henry_etal_2016_Fig2a!B5</f>
        <v>5.03597122302157E-9</v>
      </c>
      <c r="AC166" s="1"/>
      <c r="AD166" s="3">
        <f>[28]Henry_etal_2016_FigS2a!B5</f>
        <v>116.935483870967</v>
      </c>
      <c r="AF166" s="2"/>
      <c r="AG166" s="2"/>
      <c r="AK166" t="s">
        <v>199</v>
      </c>
    </row>
    <row r="167" spans="1:37" hidden="1" x14ac:dyDescent="0.25">
      <c r="A167" t="s">
        <v>543</v>
      </c>
      <c r="B167" t="s">
        <v>53</v>
      </c>
      <c r="C167" t="s">
        <v>54</v>
      </c>
      <c r="D167" t="s">
        <v>16</v>
      </c>
      <c r="E167" t="s">
        <v>17</v>
      </c>
      <c r="F167" t="s">
        <v>18</v>
      </c>
      <c r="G167" t="s">
        <v>18</v>
      </c>
      <c r="H167" t="s">
        <v>18</v>
      </c>
      <c r="I167" t="s">
        <v>704</v>
      </c>
      <c r="J167">
        <v>25</v>
      </c>
      <c r="K167" t="s">
        <v>638</v>
      </c>
      <c r="L167" t="s">
        <v>48</v>
      </c>
      <c r="M167" t="str">
        <f t="shared" si="25"/>
        <v>Stress</v>
      </c>
      <c r="N167" t="s">
        <v>697</v>
      </c>
      <c r="O167" t="s">
        <v>707</v>
      </c>
      <c r="P167" t="s">
        <v>544</v>
      </c>
      <c r="Q167" t="s">
        <v>707</v>
      </c>
      <c r="R167" t="s">
        <v>408</v>
      </c>
      <c r="S167" t="s">
        <v>701</v>
      </c>
      <c r="T167" t="s">
        <v>695</v>
      </c>
      <c r="U167" t="s">
        <v>609</v>
      </c>
      <c r="V167" s="1" t="s">
        <v>733</v>
      </c>
      <c r="W167" s="1">
        <f t="shared" si="26"/>
        <v>9.6802042237177569E-11</v>
      </c>
      <c r="X167" s="1"/>
      <c r="Y167" s="1"/>
      <c r="Z167" s="1"/>
      <c r="AA167" s="1"/>
      <c r="AB167" s="1">
        <f>[27]Henry_etal_2016_Fig2a!B6</f>
        <v>5.0647482014388403E-9</v>
      </c>
      <c r="AC167" s="1"/>
      <c r="AD167" s="3">
        <f>[28]Henry_etal_2016_FigS2a!B6</f>
        <v>191.129032258064</v>
      </c>
      <c r="AF167" s="2"/>
      <c r="AG167" s="2"/>
      <c r="AK167" t="s">
        <v>199</v>
      </c>
    </row>
    <row r="168" spans="1:37" hidden="1" x14ac:dyDescent="0.25">
      <c r="A168" t="s">
        <v>543</v>
      </c>
      <c r="B168" t="s">
        <v>53</v>
      </c>
      <c r="C168" t="s">
        <v>54</v>
      </c>
      <c r="D168" t="s">
        <v>16</v>
      </c>
      <c r="E168" t="s">
        <v>17</v>
      </c>
      <c r="F168" t="s">
        <v>18</v>
      </c>
      <c r="G168" t="s">
        <v>18</v>
      </c>
      <c r="H168" t="s">
        <v>18</v>
      </c>
      <c r="I168" t="s">
        <v>704</v>
      </c>
      <c r="J168">
        <v>25</v>
      </c>
      <c r="K168" t="s">
        <v>638</v>
      </c>
      <c r="L168" t="s">
        <v>48</v>
      </c>
      <c r="M168" t="str">
        <f t="shared" si="25"/>
        <v>Stress</v>
      </c>
      <c r="N168" t="s">
        <v>698</v>
      </c>
      <c r="O168" t="s">
        <v>707</v>
      </c>
      <c r="P168" t="s">
        <v>544</v>
      </c>
      <c r="Q168" t="s">
        <v>707</v>
      </c>
      <c r="R168" t="s">
        <v>408</v>
      </c>
      <c r="S168" t="s">
        <v>701</v>
      </c>
      <c r="T168" t="s">
        <v>695</v>
      </c>
      <c r="U168" t="s">
        <v>609</v>
      </c>
      <c r="V168" s="1" t="s">
        <v>733</v>
      </c>
      <c r="W168" s="1">
        <f t="shared" si="26"/>
        <v>7.6012996054768496E-11</v>
      </c>
      <c r="X168" s="1"/>
      <c r="Y168" s="1"/>
      <c r="Z168" s="1"/>
      <c r="AA168" s="1"/>
      <c r="AB168" s="1">
        <f>[27]Henry_etal_2016_Fig2a!B7</f>
        <v>5.9280575539568304E-9</v>
      </c>
      <c r="AC168" s="1"/>
      <c r="AD168" s="3">
        <f>[28]Henry_etal_2016_FigS2a!B7</f>
        <v>128.22580645161199</v>
      </c>
      <c r="AF168" s="2"/>
      <c r="AG168" s="2"/>
      <c r="AK168" t="s">
        <v>199</v>
      </c>
    </row>
    <row r="169" spans="1:37" hidden="1" x14ac:dyDescent="0.25">
      <c r="A169" t="s">
        <v>543</v>
      </c>
      <c r="B169" t="s">
        <v>53</v>
      </c>
      <c r="C169" t="s">
        <v>54</v>
      </c>
      <c r="D169" t="s">
        <v>16</v>
      </c>
      <c r="E169" t="s">
        <v>17</v>
      </c>
      <c r="F169" t="s">
        <v>18</v>
      </c>
      <c r="G169" t="s">
        <v>18</v>
      </c>
      <c r="H169" t="s">
        <v>18</v>
      </c>
      <c r="I169" t="s">
        <v>704</v>
      </c>
      <c r="J169">
        <v>25</v>
      </c>
      <c r="K169" t="s">
        <v>638</v>
      </c>
      <c r="L169" t="s">
        <v>48</v>
      </c>
      <c r="M169" t="str">
        <f t="shared" si="25"/>
        <v>Stress</v>
      </c>
      <c r="N169" t="s">
        <v>699</v>
      </c>
      <c r="O169" t="s">
        <v>707</v>
      </c>
      <c r="P169" t="s">
        <v>544</v>
      </c>
      <c r="Q169" t="s">
        <v>707</v>
      </c>
      <c r="R169" t="s">
        <v>408</v>
      </c>
      <c r="S169" t="s">
        <v>701</v>
      </c>
      <c r="T169" t="s">
        <v>695</v>
      </c>
      <c r="U169" t="s">
        <v>609</v>
      </c>
      <c r="V169" s="1" t="s">
        <v>733</v>
      </c>
      <c r="W169" s="1">
        <f t="shared" si="26"/>
        <v>3.492689719192352E-11</v>
      </c>
      <c r="X169" s="1"/>
      <c r="Y169" s="1"/>
      <c r="Z169" s="1"/>
      <c r="AA169" s="1"/>
      <c r="AB169" s="1">
        <f>[27]Henry_etal_2016_Fig2a!B8</f>
        <v>1.4388489208633001E-9</v>
      </c>
      <c r="AC169" s="1"/>
      <c r="AD169" s="3">
        <f>[28]Henry_etal_2016_FigS2a!B8</f>
        <v>242.74193548387001</v>
      </c>
      <c r="AF169" s="2"/>
      <c r="AG169" s="2"/>
      <c r="AK169" t="s">
        <v>199</v>
      </c>
    </row>
    <row r="170" spans="1:37" hidden="1" x14ac:dyDescent="0.25">
      <c r="A170" t="s">
        <v>543</v>
      </c>
      <c r="B170" t="s">
        <v>53</v>
      </c>
      <c r="C170" t="s">
        <v>54</v>
      </c>
      <c r="D170" t="s">
        <v>16</v>
      </c>
      <c r="E170" t="s">
        <v>17</v>
      </c>
      <c r="F170" t="s">
        <v>18</v>
      </c>
      <c r="G170" t="s">
        <v>18</v>
      </c>
      <c r="H170" t="s">
        <v>18</v>
      </c>
      <c r="I170" t="s">
        <v>704</v>
      </c>
      <c r="J170">
        <v>25</v>
      </c>
      <c r="K170" t="s">
        <v>638</v>
      </c>
      <c r="L170" t="s">
        <v>48</v>
      </c>
      <c r="M170" t="str">
        <f t="shared" si="25"/>
        <v>Stress</v>
      </c>
      <c r="N170" t="s">
        <v>700</v>
      </c>
      <c r="O170" t="s">
        <v>707</v>
      </c>
      <c r="P170" t="s">
        <v>544</v>
      </c>
      <c r="Q170" t="s">
        <v>707</v>
      </c>
      <c r="R170" t="s">
        <v>408</v>
      </c>
      <c r="S170" t="s">
        <v>701</v>
      </c>
      <c r="T170" t="s">
        <v>695</v>
      </c>
      <c r="U170" t="s">
        <v>609</v>
      </c>
      <c r="V170" s="1" t="s">
        <v>733</v>
      </c>
      <c r="W170" s="1">
        <f t="shared" si="26"/>
        <v>8.2654908331398729E-11</v>
      </c>
      <c r="X170" s="1"/>
      <c r="Y170" s="1"/>
      <c r="Z170" s="1"/>
      <c r="AA170" s="1"/>
      <c r="AB170" s="1">
        <f>[27]Henry_etal_2016_Fig2a!B9</f>
        <v>6.4460431654676198E-9</v>
      </c>
      <c r="AC170" s="1"/>
      <c r="AD170" s="3">
        <f>[28]Henry_etal_2016_FigS2a!B9</f>
        <v>128.22580645161199</v>
      </c>
      <c r="AF170" s="2"/>
      <c r="AG170" s="2"/>
      <c r="AK170" t="s">
        <v>199</v>
      </c>
    </row>
    <row r="171" spans="1:37" hidden="1" x14ac:dyDescent="0.25">
      <c r="A171" t="s">
        <v>543</v>
      </c>
      <c r="B171" t="s">
        <v>53</v>
      </c>
      <c r="C171" t="s">
        <v>54</v>
      </c>
      <c r="D171" t="s">
        <v>16</v>
      </c>
      <c r="E171" t="s">
        <v>17</v>
      </c>
      <c r="F171" t="s">
        <v>18</v>
      </c>
      <c r="G171" t="s">
        <v>18</v>
      </c>
      <c r="H171" t="s">
        <v>18</v>
      </c>
      <c r="I171" t="s">
        <v>704</v>
      </c>
      <c r="J171">
        <v>25</v>
      </c>
      <c r="K171" t="s">
        <v>638</v>
      </c>
      <c r="L171" t="s">
        <v>48</v>
      </c>
      <c r="M171" t="str">
        <f t="shared" si="25"/>
        <v>Stress</v>
      </c>
      <c r="N171" t="s">
        <v>697</v>
      </c>
      <c r="O171" t="s">
        <v>707</v>
      </c>
      <c r="P171" t="s">
        <v>426</v>
      </c>
      <c r="Q171" t="s">
        <v>707</v>
      </c>
      <c r="R171" t="s">
        <v>408</v>
      </c>
      <c r="S171" t="s">
        <v>701</v>
      </c>
      <c r="T171" t="s">
        <v>695</v>
      </c>
      <c r="U171" t="s">
        <v>609</v>
      </c>
      <c r="V171" s="1" t="s">
        <v>733</v>
      </c>
      <c r="W171" s="1">
        <f t="shared" si="26"/>
        <v>5.0201902993733821E-11</v>
      </c>
      <c r="X171" s="1"/>
      <c r="Y171" s="1"/>
      <c r="Z171" s="1"/>
      <c r="AA171" s="1"/>
      <c r="AB171" s="1">
        <f>[27]Henry_etal_2016_Fig2a!B10</f>
        <v>3.68345323741006E-9</v>
      </c>
      <c r="AC171" s="1"/>
      <c r="AD171" s="3">
        <f>[28]Henry_etal_2016_FigS2a!B10</f>
        <v>136.29032258064501</v>
      </c>
      <c r="AF171" s="2"/>
      <c r="AG171" s="2"/>
      <c r="AK171" t="s">
        <v>199</v>
      </c>
    </row>
    <row r="172" spans="1:37" hidden="1" x14ac:dyDescent="0.25">
      <c r="A172" t="s">
        <v>543</v>
      </c>
      <c r="B172" t="s">
        <v>53</v>
      </c>
      <c r="C172" t="s">
        <v>54</v>
      </c>
      <c r="D172" t="s">
        <v>16</v>
      </c>
      <c r="E172" t="s">
        <v>17</v>
      </c>
      <c r="F172" t="s">
        <v>18</v>
      </c>
      <c r="G172" t="s">
        <v>18</v>
      </c>
      <c r="H172" t="s">
        <v>18</v>
      </c>
      <c r="I172" t="s">
        <v>704</v>
      </c>
      <c r="J172">
        <v>25</v>
      </c>
      <c r="K172" t="s">
        <v>638</v>
      </c>
      <c r="L172" t="s">
        <v>48</v>
      </c>
      <c r="M172" t="str">
        <f t="shared" si="25"/>
        <v>Stress</v>
      </c>
      <c r="N172" t="s">
        <v>698</v>
      </c>
      <c r="O172" t="s">
        <v>707</v>
      </c>
      <c r="P172" t="s">
        <v>426</v>
      </c>
      <c r="Q172" t="s">
        <v>707</v>
      </c>
      <c r="R172" t="s">
        <v>408</v>
      </c>
      <c r="S172" t="s">
        <v>701</v>
      </c>
      <c r="T172" t="s">
        <v>695</v>
      </c>
      <c r="U172" t="s">
        <v>609</v>
      </c>
      <c r="V172" s="1" t="s">
        <v>733</v>
      </c>
      <c r="W172" s="1">
        <f t="shared" si="26"/>
        <v>6.600139243443922E-11</v>
      </c>
      <c r="X172" s="1"/>
      <c r="Y172" s="1"/>
      <c r="Z172" s="1"/>
      <c r="AA172" s="1"/>
      <c r="AB172" s="1">
        <f>[27]Henry_etal_2016_Fig2a!B11</f>
        <v>1.03597122302158E-8</v>
      </c>
      <c r="AC172" s="1"/>
      <c r="AD172" s="3">
        <f>[28]Henry_etal_2016_FigS2a!B11</f>
        <v>63.709677419354698</v>
      </c>
      <c r="AF172" s="2"/>
      <c r="AG172" s="2"/>
      <c r="AK172" t="s">
        <v>199</v>
      </c>
    </row>
    <row r="173" spans="1:37" hidden="1" x14ac:dyDescent="0.25">
      <c r="A173" t="s">
        <v>543</v>
      </c>
      <c r="B173" t="s">
        <v>53</v>
      </c>
      <c r="C173" t="s">
        <v>54</v>
      </c>
      <c r="D173" t="s">
        <v>16</v>
      </c>
      <c r="E173" t="s">
        <v>17</v>
      </c>
      <c r="F173" t="s">
        <v>18</v>
      </c>
      <c r="G173" t="s">
        <v>18</v>
      </c>
      <c r="H173" t="s">
        <v>18</v>
      </c>
      <c r="I173" t="s">
        <v>704</v>
      </c>
      <c r="J173">
        <v>25</v>
      </c>
      <c r="K173" t="s">
        <v>638</v>
      </c>
      <c r="L173" t="s">
        <v>48</v>
      </c>
      <c r="M173" t="str">
        <f t="shared" si="25"/>
        <v>Stress</v>
      </c>
      <c r="N173" t="s">
        <v>699</v>
      </c>
      <c r="O173" t="s">
        <v>707</v>
      </c>
      <c r="P173" t="s">
        <v>426</v>
      </c>
      <c r="Q173" t="s">
        <v>707</v>
      </c>
      <c r="R173" t="s">
        <v>408</v>
      </c>
      <c r="S173" t="s">
        <v>701</v>
      </c>
      <c r="T173" t="s">
        <v>695</v>
      </c>
      <c r="U173" t="s">
        <v>609</v>
      </c>
      <c r="V173" s="1" t="s">
        <v>733</v>
      </c>
      <c r="W173" s="1">
        <f t="shared" si="26"/>
        <v>1.2446043165467527E-10</v>
      </c>
      <c r="X173" s="1"/>
      <c r="Y173" s="1"/>
      <c r="Z173" s="1"/>
      <c r="AA173" s="1"/>
      <c r="AB173" s="1">
        <f>[27]Henry_etal_2016_Fig2a!B12</f>
        <v>9.9568345323741001E-9</v>
      </c>
      <c r="AC173" s="1"/>
      <c r="AD173" s="3">
        <f>[28]Henry_etal_2016_FigS2a!B12</f>
        <v>124.99999999999901</v>
      </c>
      <c r="AF173" s="2"/>
      <c r="AG173" s="2"/>
      <c r="AK173" t="s">
        <v>199</v>
      </c>
    </row>
    <row r="174" spans="1:37" hidden="1" x14ac:dyDescent="0.25">
      <c r="A174" t="s">
        <v>543</v>
      </c>
      <c r="B174" t="s">
        <v>53</v>
      </c>
      <c r="C174" t="s">
        <v>54</v>
      </c>
      <c r="D174" t="s">
        <v>16</v>
      </c>
      <c r="E174" t="s">
        <v>17</v>
      </c>
      <c r="F174" t="s">
        <v>18</v>
      </c>
      <c r="G174" t="s">
        <v>18</v>
      </c>
      <c r="H174" t="s">
        <v>18</v>
      </c>
      <c r="I174" t="s">
        <v>704</v>
      </c>
      <c r="J174">
        <v>25</v>
      </c>
      <c r="K174" t="s">
        <v>638</v>
      </c>
      <c r="L174" t="s">
        <v>48</v>
      </c>
      <c r="M174" t="str">
        <f t="shared" si="25"/>
        <v>Stress</v>
      </c>
      <c r="N174" t="s">
        <v>700</v>
      </c>
      <c r="O174" t="s">
        <v>707</v>
      </c>
      <c r="P174" t="s">
        <v>426</v>
      </c>
      <c r="Q174" t="s">
        <v>707</v>
      </c>
      <c r="R174" t="s">
        <v>408</v>
      </c>
      <c r="S174" t="s">
        <v>701</v>
      </c>
      <c r="T174" t="s">
        <v>695</v>
      </c>
      <c r="U174" t="s">
        <v>609</v>
      </c>
      <c r="V174" s="1" t="s">
        <v>733</v>
      </c>
      <c r="W174" s="1">
        <f t="shared" si="26"/>
        <v>4.4771408679507886E-11</v>
      </c>
      <c r="X174" s="1"/>
      <c r="Y174" s="1"/>
      <c r="Z174" s="1"/>
      <c r="AA174" s="1"/>
      <c r="AB174" s="1">
        <f>[27]Henry_etal_2016_Fig2a!B13</f>
        <v>6.10071942446042E-9</v>
      </c>
      <c r="AC174" s="1"/>
      <c r="AD174" s="3">
        <f>[28]Henry_etal_2016_FigS2a!B13</f>
        <v>73.387096774193495</v>
      </c>
      <c r="AF174" s="2"/>
      <c r="AG174" s="2"/>
      <c r="AK174" t="s">
        <v>199</v>
      </c>
    </row>
    <row r="175" spans="1:37" hidden="1" x14ac:dyDescent="0.25">
      <c r="A175" t="s">
        <v>543</v>
      </c>
      <c r="B175" t="s">
        <v>53</v>
      </c>
      <c r="C175" t="s">
        <v>54</v>
      </c>
      <c r="D175" t="s">
        <v>16</v>
      </c>
      <c r="E175" t="s">
        <v>17</v>
      </c>
      <c r="F175" t="s">
        <v>18</v>
      </c>
      <c r="G175" t="s">
        <v>18</v>
      </c>
      <c r="H175" t="s">
        <v>18</v>
      </c>
      <c r="I175" t="s">
        <v>704</v>
      </c>
      <c r="J175">
        <v>25</v>
      </c>
      <c r="K175" t="s">
        <v>638</v>
      </c>
      <c r="L175" t="s">
        <v>48</v>
      </c>
      <c r="M175" t="str">
        <f t="shared" si="25"/>
        <v>Stress</v>
      </c>
      <c r="N175" t="s">
        <v>697</v>
      </c>
      <c r="O175" t="s">
        <v>707</v>
      </c>
      <c r="P175" t="s">
        <v>545</v>
      </c>
      <c r="Q175" t="s">
        <v>707</v>
      </c>
      <c r="R175" t="s">
        <v>408</v>
      </c>
      <c r="S175" t="s">
        <v>701</v>
      </c>
      <c r="T175" t="s">
        <v>695</v>
      </c>
      <c r="U175" t="s">
        <v>609</v>
      </c>
      <c r="V175" s="1" t="s">
        <v>733</v>
      </c>
      <c r="W175" s="1">
        <f t="shared" si="26"/>
        <v>9.4448828034346584E-11</v>
      </c>
      <c r="X175" s="1"/>
      <c r="Y175" s="1"/>
      <c r="Z175" s="1"/>
      <c r="AA175" s="1"/>
      <c r="AB175" s="1">
        <f>[27]Henry_etal_2016_Fig2a!B14</f>
        <v>9.8417266187050305E-9</v>
      </c>
      <c r="AC175" s="1"/>
      <c r="AD175" s="3">
        <f>[28]Henry_etal_2016_FigS2a!B14</f>
        <v>95.967741935483801</v>
      </c>
      <c r="AF175" s="2"/>
      <c r="AG175" s="2"/>
      <c r="AK175" t="s">
        <v>199</v>
      </c>
    </row>
    <row r="176" spans="1:37" hidden="1" x14ac:dyDescent="0.25">
      <c r="A176" t="s">
        <v>543</v>
      </c>
      <c r="B176" t="s">
        <v>53</v>
      </c>
      <c r="C176" t="s">
        <v>54</v>
      </c>
      <c r="D176" t="s">
        <v>16</v>
      </c>
      <c r="E176" t="s">
        <v>17</v>
      </c>
      <c r="F176" t="s">
        <v>18</v>
      </c>
      <c r="G176" t="s">
        <v>18</v>
      </c>
      <c r="H176" t="s">
        <v>18</v>
      </c>
      <c r="I176" t="s">
        <v>704</v>
      </c>
      <c r="J176">
        <v>25</v>
      </c>
      <c r="K176" t="s">
        <v>638</v>
      </c>
      <c r="L176" t="s">
        <v>48</v>
      </c>
      <c r="M176" t="str">
        <f t="shared" si="25"/>
        <v>Stress</v>
      </c>
      <c r="N176" t="s">
        <v>698</v>
      </c>
      <c r="O176" t="s">
        <v>707</v>
      </c>
      <c r="P176" t="s">
        <v>545</v>
      </c>
      <c r="Q176" t="s">
        <v>707</v>
      </c>
      <c r="R176" t="s">
        <v>408</v>
      </c>
      <c r="S176" t="s">
        <v>701</v>
      </c>
      <c r="T176" t="s">
        <v>695</v>
      </c>
      <c r="U176" t="s">
        <v>609</v>
      </c>
      <c r="V176" s="1" t="s">
        <v>733</v>
      </c>
      <c r="W176" s="1">
        <f t="shared" si="26"/>
        <v>3.5938732884659912E-11</v>
      </c>
      <c r="X176" s="1"/>
      <c r="Y176" s="1"/>
      <c r="Z176" s="1"/>
      <c r="AA176" s="1"/>
      <c r="AB176" s="1">
        <f>[27]Henry_etal_2016_Fig2a!B15</f>
        <v>5.1223021582733702E-9</v>
      </c>
      <c r="AC176" s="1"/>
      <c r="AD176" s="3">
        <f>[28]Henry_etal_2016_FigS2a!B15</f>
        <v>70.161290322580598</v>
      </c>
      <c r="AF176" s="2"/>
      <c r="AG176" s="2"/>
      <c r="AK176" t="s">
        <v>199</v>
      </c>
    </row>
    <row r="177" spans="1:37" hidden="1" x14ac:dyDescent="0.25">
      <c r="A177" t="s">
        <v>543</v>
      </c>
      <c r="B177" t="s">
        <v>53</v>
      </c>
      <c r="C177" t="s">
        <v>54</v>
      </c>
      <c r="D177" t="s">
        <v>16</v>
      </c>
      <c r="E177" t="s">
        <v>17</v>
      </c>
      <c r="F177" t="s">
        <v>18</v>
      </c>
      <c r="G177" t="s">
        <v>18</v>
      </c>
      <c r="H177" t="s">
        <v>18</v>
      </c>
      <c r="I177" t="s">
        <v>704</v>
      </c>
      <c r="J177">
        <v>25</v>
      </c>
      <c r="K177" t="s">
        <v>638</v>
      </c>
      <c r="L177" t="s">
        <v>48</v>
      </c>
      <c r="M177" t="str">
        <f t="shared" si="25"/>
        <v>Stress</v>
      </c>
      <c r="N177" t="s">
        <v>699</v>
      </c>
      <c r="O177" t="s">
        <v>707</v>
      </c>
      <c r="P177" t="s">
        <v>545</v>
      </c>
      <c r="Q177" t="s">
        <v>707</v>
      </c>
      <c r="R177" t="s">
        <v>408</v>
      </c>
      <c r="S177" t="s">
        <v>701</v>
      </c>
      <c r="T177" t="s">
        <v>695</v>
      </c>
      <c r="U177" t="s">
        <v>609</v>
      </c>
      <c r="V177" s="1" t="s">
        <v>733</v>
      </c>
      <c r="W177" s="1">
        <f t="shared" si="26"/>
        <v>7.6871663959155133E-11</v>
      </c>
      <c r="X177" s="1"/>
      <c r="Y177" s="1"/>
      <c r="Z177" s="1"/>
      <c r="AA177" s="1"/>
      <c r="AB177" s="1">
        <f>[27]Henry_etal_2016_Fig2a!B16</f>
        <v>5.6402877697841703E-9</v>
      </c>
      <c r="AC177" s="1"/>
      <c r="AD177" s="3">
        <f>[28]Henry_etal_2016_FigS2a!B16</f>
        <v>136.29032258064501</v>
      </c>
      <c r="AF177" s="2"/>
      <c r="AG177" s="2"/>
      <c r="AK177" t="s">
        <v>199</v>
      </c>
    </row>
    <row r="178" spans="1:37" hidden="1" x14ac:dyDescent="0.25">
      <c r="A178" t="s">
        <v>543</v>
      </c>
      <c r="B178" t="s">
        <v>53</v>
      </c>
      <c r="C178" t="s">
        <v>54</v>
      </c>
      <c r="D178" t="s">
        <v>16</v>
      </c>
      <c r="E178" t="s">
        <v>17</v>
      </c>
      <c r="F178" t="s">
        <v>18</v>
      </c>
      <c r="G178" t="s">
        <v>18</v>
      </c>
      <c r="H178" t="s">
        <v>18</v>
      </c>
      <c r="I178" t="s">
        <v>704</v>
      </c>
      <c r="J178">
        <v>25</v>
      </c>
      <c r="K178" t="s">
        <v>638</v>
      </c>
      <c r="L178" t="s">
        <v>48</v>
      </c>
      <c r="M178" t="str">
        <f t="shared" si="25"/>
        <v>Stress</v>
      </c>
      <c r="N178" t="s">
        <v>700</v>
      </c>
      <c r="O178" t="s">
        <v>707</v>
      </c>
      <c r="P178" t="s">
        <v>545</v>
      </c>
      <c r="Q178" t="s">
        <v>707</v>
      </c>
      <c r="R178" t="s">
        <v>408</v>
      </c>
      <c r="S178" t="s">
        <v>701</v>
      </c>
      <c r="T178" t="s">
        <v>695</v>
      </c>
      <c r="U178" t="s">
        <v>609</v>
      </c>
      <c r="V178" s="1" t="s">
        <v>733</v>
      </c>
      <c r="W178" s="1">
        <f t="shared" si="26"/>
        <v>6.8006498027384409E-11</v>
      </c>
      <c r="X178" s="1"/>
      <c r="Y178" s="1"/>
      <c r="Z178" s="1"/>
      <c r="AA178" s="1"/>
      <c r="AB178" s="1">
        <f>[27]Henry_etal_2016_Fig2a!B17</f>
        <v>8.51798561151078E-9</v>
      </c>
      <c r="AC178" s="1"/>
      <c r="AD178" s="3">
        <f>[28]Henry_etal_2016_FigS2a!B17</f>
        <v>79.838709677419303</v>
      </c>
      <c r="AF178" s="2"/>
      <c r="AG178" s="2"/>
      <c r="AK178" t="s">
        <v>199</v>
      </c>
    </row>
    <row r="179" spans="1:37" x14ac:dyDescent="0.25">
      <c r="A179" t="s">
        <v>55</v>
      </c>
      <c r="B179" t="s">
        <v>53</v>
      </c>
      <c r="C179" t="s">
        <v>54</v>
      </c>
      <c r="D179" t="s">
        <v>16</v>
      </c>
      <c r="E179" t="s">
        <v>17</v>
      </c>
      <c r="F179" t="s">
        <v>18</v>
      </c>
      <c r="G179" t="s">
        <v>18</v>
      </c>
      <c r="H179" t="s">
        <v>18</v>
      </c>
      <c r="I179" t="s">
        <v>704</v>
      </c>
      <c r="J179">
        <v>29</v>
      </c>
      <c r="K179" t="s">
        <v>639</v>
      </c>
      <c r="L179" t="s">
        <v>36</v>
      </c>
      <c r="M179" t="str">
        <f t="shared" ref="M179:M210" si="27">+IF(L179 = "Control", "Control", "Stress")</f>
        <v>Control</v>
      </c>
      <c r="N179" t="s">
        <v>36</v>
      </c>
      <c r="O179" t="str">
        <f t="shared" ref="O179:O202" si="28">+IF(N179="Control","Control","Stress")</f>
        <v>Control</v>
      </c>
      <c r="P179" t="s">
        <v>422</v>
      </c>
      <c r="Q179" t="s">
        <v>707</v>
      </c>
      <c r="R179" t="s">
        <v>408</v>
      </c>
      <c r="S179" t="s">
        <v>701</v>
      </c>
      <c r="T179" t="s">
        <v>695</v>
      </c>
      <c r="U179" t="s">
        <v>609</v>
      </c>
      <c r="V179" s="1" t="s">
        <v>733</v>
      </c>
      <c r="W179" s="1">
        <f t="shared" si="26"/>
        <v>3.2725000000000004E-8</v>
      </c>
      <c r="Y179" s="1"/>
      <c r="Z179" s="1"/>
      <c r="AA179" s="1"/>
      <c r="AB179" s="1">
        <v>5.9500000000000003E-8</v>
      </c>
      <c r="AC179" s="2"/>
      <c r="AD179">
        <v>5500</v>
      </c>
      <c r="AE179">
        <v>9670</v>
      </c>
      <c r="AF179" s="2">
        <v>1.9</v>
      </c>
      <c r="AG179" s="2"/>
      <c r="AH179" s="2">
        <v>1.0589999999999999</v>
      </c>
      <c r="AJ179" s="3"/>
      <c r="AK179" t="s">
        <v>199</v>
      </c>
    </row>
    <row r="180" spans="1:37" x14ac:dyDescent="0.25">
      <c r="A180" t="s">
        <v>55</v>
      </c>
      <c r="B180" t="s">
        <v>53</v>
      </c>
      <c r="C180" t="s">
        <v>54</v>
      </c>
      <c r="D180" t="s">
        <v>16</v>
      </c>
      <c r="E180" t="s">
        <v>17</v>
      </c>
      <c r="F180" t="s">
        <v>18</v>
      </c>
      <c r="G180" t="s">
        <v>18</v>
      </c>
      <c r="H180" t="s">
        <v>18</v>
      </c>
      <c r="I180" t="s">
        <v>704</v>
      </c>
      <c r="J180">
        <v>29</v>
      </c>
      <c r="K180" t="s">
        <v>639</v>
      </c>
      <c r="L180" t="s">
        <v>48</v>
      </c>
      <c r="M180" t="str">
        <f t="shared" si="27"/>
        <v>Stress</v>
      </c>
      <c r="N180" t="s">
        <v>36</v>
      </c>
      <c r="O180" t="str">
        <f t="shared" si="28"/>
        <v>Control</v>
      </c>
      <c r="P180" t="s">
        <v>422</v>
      </c>
      <c r="Q180" t="s">
        <v>707</v>
      </c>
      <c r="R180" t="s">
        <v>408</v>
      </c>
      <c r="S180" t="s">
        <v>701</v>
      </c>
      <c r="T180" t="s">
        <v>695</v>
      </c>
      <c r="U180" t="s">
        <v>609</v>
      </c>
      <c r="V180" s="1" t="s">
        <v>733</v>
      </c>
      <c r="W180" s="1">
        <f t="shared" si="26"/>
        <v>6.6699999999999979E-9</v>
      </c>
      <c r="Y180" s="1"/>
      <c r="Z180" s="1"/>
      <c r="AA180" s="1"/>
      <c r="AB180" s="1">
        <v>2.8999999999999998E-8</v>
      </c>
      <c r="AC180" s="2"/>
      <c r="AD180">
        <v>2299.9999999999995</v>
      </c>
      <c r="AE180">
        <v>4030</v>
      </c>
      <c r="AF180" s="2">
        <v>0.3</v>
      </c>
      <c r="AG180" s="2"/>
      <c r="AH180" s="2">
        <v>0.60799999999999998</v>
      </c>
      <c r="AJ180" s="3"/>
      <c r="AK180" t="s">
        <v>199</v>
      </c>
    </row>
    <row r="181" spans="1:37" x14ac:dyDescent="0.25">
      <c r="A181" t="s">
        <v>55</v>
      </c>
      <c r="B181" t="s">
        <v>53</v>
      </c>
      <c r="C181" t="s">
        <v>54</v>
      </c>
      <c r="D181" t="s">
        <v>16</v>
      </c>
      <c r="E181" t="s">
        <v>17</v>
      </c>
      <c r="F181" t="s">
        <v>18</v>
      </c>
      <c r="G181" t="s">
        <v>18</v>
      </c>
      <c r="H181" t="s">
        <v>18</v>
      </c>
      <c r="I181" t="s">
        <v>704</v>
      </c>
      <c r="J181">
        <v>29</v>
      </c>
      <c r="K181" t="s">
        <v>639</v>
      </c>
      <c r="L181" t="s">
        <v>36</v>
      </c>
      <c r="M181" t="str">
        <f t="shared" si="27"/>
        <v>Control</v>
      </c>
      <c r="N181" t="s">
        <v>703</v>
      </c>
      <c r="O181" t="str">
        <f t="shared" si="28"/>
        <v>Stress</v>
      </c>
      <c r="P181" t="s">
        <v>422</v>
      </c>
      <c r="Q181" t="s">
        <v>707</v>
      </c>
      <c r="R181" t="s">
        <v>408</v>
      </c>
      <c r="S181" t="s">
        <v>701</v>
      </c>
      <c r="T181" t="s">
        <v>695</v>
      </c>
      <c r="U181" t="s">
        <v>609</v>
      </c>
      <c r="V181" s="1" t="s">
        <v>733</v>
      </c>
      <c r="W181" s="1">
        <f t="shared" si="26"/>
        <v>8.1949999999999999E-9</v>
      </c>
      <c r="Y181" s="1"/>
      <c r="Z181" s="1"/>
      <c r="AA181" s="1"/>
      <c r="AB181" s="1">
        <v>1.4899999999999999E-8</v>
      </c>
      <c r="AC181" s="2"/>
      <c r="AD181">
        <v>5500</v>
      </c>
      <c r="AE181">
        <f>+AE179</f>
        <v>9670</v>
      </c>
      <c r="AF181" s="2">
        <f>+AF179</f>
        <v>1.9</v>
      </c>
      <c r="AG181" s="2"/>
      <c r="AH181" s="2">
        <v>1.0589999999999999</v>
      </c>
      <c r="AJ181" s="3"/>
      <c r="AK181" t="s">
        <v>199</v>
      </c>
    </row>
    <row r="182" spans="1:37" x14ac:dyDescent="0.25">
      <c r="A182" t="s">
        <v>55</v>
      </c>
      <c r="B182" t="s">
        <v>53</v>
      </c>
      <c r="C182" t="s">
        <v>54</v>
      </c>
      <c r="D182" t="s">
        <v>16</v>
      </c>
      <c r="E182" t="s">
        <v>17</v>
      </c>
      <c r="F182" t="s">
        <v>18</v>
      </c>
      <c r="G182" t="s">
        <v>18</v>
      </c>
      <c r="H182" t="s">
        <v>18</v>
      </c>
      <c r="I182" t="s">
        <v>704</v>
      </c>
      <c r="J182">
        <v>29</v>
      </c>
      <c r="K182" t="s">
        <v>639</v>
      </c>
      <c r="L182" t="s">
        <v>48</v>
      </c>
      <c r="M182" t="str">
        <f t="shared" si="27"/>
        <v>Stress</v>
      </c>
      <c r="N182" t="s">
        <v>703</v>
      </c>
      <c r="O182" t="str">
        <f t="shared" si="28"/>
        <v>Stress</v>
      </c>
      <c r="P182" t="s">
        <v>422</v>
      </c>
      <c r="Q182" t="s">
        <v>707</v>
      </c>
      <c r="R182" t="s">
        <v>408</v>
      </c>
      <c r="S182" t="s">
        <v>701</v>
      </c>
      <c r="T182" t="s">
        <v>695</v>
      </c>
      <c r="U182" t="s">
        <v>609</v>
      </c>
      <c r="V182" s="1" t="s">
        <v>733</v>
      </c>
      <c r="W182" s="1">
        <f t="shared" si="26"/>
        <v>2.6219999999999994E-9</v>
      </c>
      <c r="Y182" s="1"/>
      <c r="Z182" s="1"/>
      <c r="AA182" s="1"/>
      <c r="AB182" s="1">
        <v>1.14E-8</v>
      </c>
      <c r="AC182" s="2"/>
      <c r="AD182">
        <v>2299.9999999999995</v>
      </c>
      <c r="AE182">
        <f>+AE180</f>
        <v>4030</v>
      </c>
      <c r="AF182" s="2">
        <f>+AF180</f>
        <v>0.3</v>
      </c>
      <c r="AG182" s="2"/>
      <c r="AH182" s="2">
        <v>0.60799999999999998</v>
      </c>
      <c r="AJ182" s="3"/>
      <c r="AK182" t="s">
        <v>199</v>
      </c>
    </row>
    <row r="183" spans="1:37" x14ac:dyDescent="0.25">
      <c r="A183" t="s">
        <v>55</v>
      </c>
      <c r="B183" t="s">
        <v>53</v>
      </c>
      <c r="C183" t="s">
        <v>54</v>
      </c>
      <c r="D183" t="s">
        <v>16</v>
      </c>
      <c r="E183" t="s">
        <v>17</v>
      </c>
      <c r="F183" t="s">
        <v>18</v>
      </c>
      <c r="G183" t="s">
        <v>18</v>
      </c>
      <c r="H183" t="s">
        <v>18</v>
      </c>
      <c r="I183" t="s">
        <v>704</v>
      </c>
      <c r="J183">
        <v>29</v>
      </c>
      <c r="K183" t="s">
        <v>639</v>
      </c>
      <c r="L183" t="s">
        <v>36</v>
      </c>
      <c r="M183" t="str">
        <f t="shared" si="27"/>
        <v>Control</v>
      </c>
      <c r="N183" t="s">
        <v>36</v>
      </c>
      <c r="O183" t="str">
        <f t="shared" si="28"/>
        <v>Control</v>
      </c>
      <c r="P183" t="s">
        <v>423</v>
      </c>
      <c r="Q183" t="s">
        <v>707</v>
      </c>
      <c r="R183" t="s">
        <v>408</v>
      </c>
      <c r="S183" t="s">
        <v>701</v>
      </c>
      <c r="T183" t="s">
        <v>695</v>
      </c>
      <c r="U183" t="s">
        <v>609</v>
      </c>
      <c r="V183" s="1" t="s">
        <v>733</v>
      </c>
      <c r="W183" s="1">
        <f t="shared" si="26"/>
        <v>2.6150000000000003E-8</v>
      </c>
      <c r="Y183" s="1"/>
      <c r="Z183" s="1"/>
      <c r="AA183" s="1"/>
      <c r="AB183" s="1">
        <v>5.2300000000000005E-8</v>
      </c>
      <c r="AC183" s="2"/>
      <c r="AD183">
        <v>5000</v>
      </c>
      <c r="AE183">
        <v>8540</v>
      </c>
      <c r="AF183" s="2">
        <v>1.7</v>
      </c>
      <c r="AG183" s="2"/>
      <c r="AH183" s="2">
        <v>0.95299999999999996</v>
      </c>
      <c r="AJ183" s="3"/>
      <c r="AK183" t="s">
        <v>199</v>
      </c>
    </row>
    <row r="184" spans="1:37" x14ac:dyDescent="0.25">
      <c r="A184" t="s">
        <v>55</v>
      </c>
      <c r="B184" t="s">
        <v>53</v>
      </c>
      <c r="C184" t="s">
        <v>54</v>
      </c>
      <c r="D184" t="s">
        <v>16</v>
      </c>
      <c r="E184" t="s">
        <v>17</v>
      </c>
      <c r="F184" t="s">
        <v>18</v>
      </c>
      <c r="G184" t="s">
        <v>18</v>
      </c>
      <c r="H184" t="s">
        <v>18</v>
      </c>
      <c r="I184" t="s">
        <v>704</v>
      </c>
      <c r="J184">
        <v>29</v>
      </c>
      <c r="K184" t="s">
        <v>639</v>
      </c>
      <c r="L184" t="s">
        <v>48</v>
      </c>
      <c r="M184" t="str">
        <f t="shared" si="27"/>
        <v>Stress</v>
      </c>
      <c r="N184" t="s">
        <v>36</v>
      </c>
      <c r="O184" t="str">
        <f t="shared" si="28"/>
        <v>Control</v>
      </c>
      <c r="P184" t="s">
        <v>423</v>
      </c>
      <c r="Q184" t="s">
        <v>707</v>
      </c>
      <c r="R184" t="s">
        <v>408</v>
      </c>
      <c r="S184" t="s">
        <v>701</v>
      </c>
      <c r="T184" t="s">
        <v>695</v>
      </c>
      <c r="U184" t="s">
        <v>609</v>
      </c>
      <c r="V184" s="1" t="s">
        <v>733</v>
      </c>
      <c r="W184" s="1">
        <f t="shared" si="26"/>
        <v>5.76E-9</v>
      </c>
      <c r="Y184" s="1"/>
      <c r="Z184" s="1"/>
      <c r="AA184" s="1"/>
      <c r="AB184" s="1">
        <v>2.4E-8</v>
      </c>
      <c r="AC184" s="2"/>
      <c r="AD184">
        <v>2400</v>
      </c>
      <c r="AE184">
        <v>3929.9999999999995</v>
      </c>
      <c r="AF184" s="2">
        <v>0.5</v>
      </c>
      <c r="AG184" s="2"/>
      <c r="AH184" s="2">
        <v>0.84799999999999998</v>
      </c>
      <c r="AJ184" s="3"/>
      <c r="AK184" t="s">
        <v>199</v>
      </c>
    </row>
    <row r="185" spans="1:37" x14ac:dyDescent="0.25">
      <c r="A185" t="s">
        <v>55</v>
      </c>
      <c r="B185" t="s">
        <v>53</v>
      </c>
      <c r="C185" t="s">
        <v>54</v>
      </c>
      <c r="D185" t="s">
        <v>16</v>
      </c>
      <c r="E185" t="s">
        <v>17</v>
      </c>
      <c r="F185" t="s">
        <v>18</v>
      </c>
      <c r="G185" t="s">
        <v>18</v>
      </c>
      <c r="H185" t="s">
        <v>18</v>
      </c>
      <c r="I185" t="s">
        <v>704</v>
      </c>
      <c r="J185">
        <v>29</v>
      </c>
      <c r="K185" t="s">
        <v>639</v>
      </c>
      <c r="L185" t="s">
        <v>36</v>
      </c>
      <c r="M185" t="str">
        <f t="shared" si="27"/>
        <v>Control</v>
      </c>
      <c r="N185" t="s">
        <v>703</v>
      </c>
      <c r="O185" t="str">
        <f t="shared" si="28"/>
        <v>Stress</v>
      </c>
      <c r="P185" t="s">
        <v>423</v>
      </c>
      <c r="Q185" t="s">
        <v>707</v>
      </c>
      <c r="R185" t="s">
        <v>408</v>
      </c>
      <c r="S185" t="s">
        <v>701</v>
      </c>
      <c r="T185" t="s">
        <v>695</v>
      </c>
      <c r="U185" t="s">
        <v>609</v>
      </c>
      <c r="V185" s="1" t="s">
        <v>733</v>
      </c>
      <c r="W185" s="1">
        <f t="shared" si="26"/>
        <v>1.2849999999999998E-8</v>
      </c>
      <c r="Y185" s="1"/>
      <c r="Z185" s="1"/>
      <c r="AA185" s="1"/>
      <c r="AB185" s="1">
        <v>2.5699999999999999E-8</v>
      </c>
      <c r="AC185" s="2"/>
      <c r="AD185">
        <v>5000</v>
      </c>
      <c r="AE185">
        <f>+AE183</f>
        <v>8540</v>
      </c>
      <c r="AF185" s="2">
        <f>+AF183</f>
        <v>1.7</v>
      </c>
      <c r="AG185" s="2"/>
      <c r="AH185" s="2">
        <v>0.95299999999999996</v>
      </c>
      <c r="AJ185" s="3"/>
      <c r="AK185" t="s">
        <v>199</v>
      </c>
    </row>
    <row r="186" spans="1:37" x14ac:dyDescent="0.25">
      <c r="A186" t="s">
        <v>55</v>
      </c>
      <c r="B186" t="s">
        <v>53</v>
      </c>
      <c r="C186" t="s">
        <v>54</v>
      </c>
      <c r="D186" t="s">
        <v>16</v>
      </c>
      <c r="E186" t="s">
        <v>17</v>
      </c>
      <c r="F186" t="s">
        <v>18</v>
      </c>
      <c r="G186" t="s">
        <v>18</v>
      </c>
      <c r="H186" t="s">
        <v>18</v>
      </c>
      <c r="I186" t="s">
        <v>704</v>
      </c>
      <c r="J186">
        <v>29</v>
      </c>
      <c r="K186" t="s">
        <v>639</v>
      </c>
      <c r="L186" t="s">
        <v>48</v>
      </c>
      <c r="M186" t="str">
        <f t="shared" si="27"/>
        <v>Stress</v>
      </c>
      <c r="N186" t="s">
        <v>703</v>
      </c>
      <c r="O186" t="str">
        <f t="shared" si="28"/>
        <v>Stress</v>
      </c>
      <c r="P186" t="s">
        <v>423</v>
      </c>
      <c r="Q186" t="s">
        <v>707</v>
      </c>
      <c r="R186" t="s">
        <v>408</v>
      </c>
      <c r="S186" t="s">
        <v>701</v>
      </c>
      <c r="T186" t="s">
        <v>695</v>
      </c>
      <c r="U186" t="s">
        <v>609</v>
      </c>
      <c r="V186" s="1" t="s">
        <v>733</v>
      </c>
      <c r="W186" s="1">
        <f t="shared" si="26"/>
        <v>2.1600000000000004E-9</v>
      </c>
      <c r="Y186" s="1"/>
      <c r="Z186" s="1"/>
      <c r="AA186" s="1"/>
      <c r="AB186" s="1">
        <v>9.0000000000000012E-9</v>
      </c>
      <c r="AC186" s="2"/>
      <c r="AD186">
        <v>2400</v>
      </c>
      <c r="AE186">
        <f>+AE184</f>
        <v>3929.9999999999995</v>
      </c>
      <c r="AF186" s="2">
        <f>+AF184</f>
        <v>0.5</v>
      </c>
      <c r="AG186" s="2"/>
      <c r="AH186" s="2">
        <v>0.84799999999999998</v>
      </c>
      <c r="AJ186" s="3"/>
      <c r="AK186" t="s">
        <v>199</v>
      </c>
    </row>
    <row r="187" spans="1:37" x14ac:dyDescent="0.25">
      <c r="A187" t="s">
        <v>55</v>
      </c>
      <c r="B187" t="s">
        <v>53</v>
      </c>
      <c r="C187" t="s">
        <v>54</v>
      </c>
      <c r="D187" t="s">
        <v>16</v>
      </c>
      <c r="E187" t="s">
        <v>17</v>
      </c>
      <c r="F187" t="s">
        <v>18</v>
      </c>
      <c r="G187" t="s">
        <v>18</v>
      </c>
      <c r="H187" t="s">
        <v>18</v>
      </c>
      <c r="I187" t="s">
        <v>704</v>
      </c>
      <c r="J187">
        <v>29</v>
      </c>
      <c r="K187" t="s">
        <v>639</v>
      </c>
      <c r="L187" t="s">
        <v>36</v>
      </c>
      <c r="M187" t="str">
        <f t="shared" si="27"/>
        <v>Control</v>
      </c>
      <c r="N187" t="s">
        <v>36</v>
      </c>
      <c r="O187" t="str">
        <f t="shared" si="28"/>
        <v>Control</v>
      </c>
      <c r="P187" t="s">
        <v>424</v>
      </c>
      <c r="Q187" t="s">
        <v>707</v>
      </c>
      <c r="R187" t="s">
        <v>408</v>
      </c>
      <c r="S187" t="s">
        <v>701</v>
      </c>
      <c r="T187" t="s">
        <v>695</v>
      </c>
      <c r="U187" t="s">
        <v>609</v>
      </c>
      <c r="V187" s="1" t="s">
        <v>733</v>
      </c>
      <c r="W187" s="1">
        <f t="shared" si="26"/>
        <v>4.1004000000000001E-8</v>
      </c>
      <c r="Y187" s="1"/>
      <c r="Z187" s="1"/>
      <c r="AA187" s="1"/>
      <c r="AB187" s="1">
        <v>6.0300000000000004E-8</v>
      </c>
      <c r="AC187" s="2"/>
      <c r="AD187">
        <v>6800</v>
      </c>
      <c r="AE187">
        <v>12660</v>
      </c>
      <c r="AF187" s="2">
        <v>2.2999999999999998</v>
      </c>
      <c r="AG187" s="2"/>
      <c r="AH187" s="2">
        <v>0.99299999999999999</v>
      </c>
      <c r="AJ187" s="3"/>
      <c r="AK187" t="s">
        <v>199</v>
      </c>
    </row>
    <row r="188" spans="1:37" x14ac:dyDescent="0.25">
      <c r="A188" t="s">
        <v>55</v>
      </c>
      <c r="B188" t="s">
        <v>53</v>
      </c>
      <c r="C188" t="s">
        <v>54</v>
      </c>
      <c r="D188" t="s">
        <v>16</v>
      </c>
      <c r="E188" t="s">
        <v>17</v>
      </c>
      <c r="F188" t="s">
        <v>18</v>
      </c>
      <c r="G188" t="s">
        <v>18</v>
      </c>
      <c r="H188" t="s">
        <v>18</v>
      </c>
      <c r="I188" t="s">
        <v>704</v>
      </c>
      <c r="J188">
        <v>29</v>
      </c>
      <c r="K188" t="s">
        <v>639</v>
      </c>
      <c r="L188" t="s">
        <v>48</v>
      </c>
      <c r="M188" t="str">
        <f t="shared" si="27"/>
        <v>Stress</v>
      </c>
      <c r="N188" t="s">
        <v>36</v>
      </c>
      <c r="O188" t="str">
        <f t="shared" si="28"/>
        <v>Control</v>
      </c>
      <c r="P188" t="s">
        <v>424</v>
      </c>
      <c r="Q188" t="s">
        <v>707</v>
      </c>
      <c r="R188" t="s">
        <v>408</v>
      </c>
      <c r="S188" t="s">
        <v>701</v>
      </c>
      <c r="T188" t="s">
        <v>695</v>
      </c>
      <c r="U188" t="s">
        <v>609</v>
      </c>
      <c r="V188" s="1" t="s">
        <v>733</v>
      </c>
      <c r="W188" s="1">
        <f t="shared" si="26"/>
        <v>8.1270000000000006E-9</v>
      </c>
      <c r="Y188" s="1"/>
      <c r="Z188" s="1"/>
      <c r="AA188" s="1"/>
      <c r="AB188" s="1">
        <v>3.0099999999999998E-8</v>
      </c>
      <c r="AC188" s="2"/>
      <c r="AD188">
        <v>2700</v>
      </c>
      <c r="AE188">
        <v>5230</v>
      </c>
      <c r="AF188" s="2">
        <v>0.6</v>
      </c>
      <c r="AG188" s="2"/>
      <c r="AH188" s="2">
        <v>0.69099999999999995</v>
      </c>
      <c r="AJ188" s="3"/>
      <c r="AK188" t="s">
        <v>199</v>
      </c>
    </row>
    <row r="189" spans="1:37" x14ac:dyDescent="0.25">
      <c r="A189" t="s">
        <v>55</v>
      </c>
      <c r="B189" t="s">
        <v>53</v>
      </c>
      <c r="C189" t="s">
        <v>54</v>
      </c>
      <c r="D189" t="s">
        <v>16</v>
      </c>
      <c r="E189" t="s">
        <v>17</v>
      </c>
      <c r="F189" t="s">
        <v>18</v>
      </c>
      <c r="G189" t="s">
        <v>18</v>
      </c>
      <c r="H189" t="s">
        <v>18</v>
      </c>
      <c r="I189" t="s">
        <v>704</v>
      </c>
      <c r="J189">
        <v>29</v>
      </c>
      <c r="K189" t="s">
        <v>639</v>
      </c>
      <c r="L189" t="s">
        <v>36</v>
      </c>
      <c r="M189" t="str">
        <f t="shared" si="27"/>
        <v>Control</v>
      </c>
      <c r="N189" t="s">
        <v>703</v>
      </c>
      <c r="O189" t="str">
        <f t="shared" si="28"/>
        <v>Stress</v>
      </c>
      <c r="P189" t="s">
        <v>424</v>
      </c>
      <c r="Q189" t="s">
        <v>707</v>
      </c>
      <c r="R189" t="s">
        <v>408</v>
      </c>
      <c r="S189" t="s">
        <v>701</v>
      </c>
      <c r="T189" t="s">
        <v>695</v>
      </c>
      <c r="U189" t="s">
        <v>609</v>
      </c>
      <c r="V189" s="1" t="s">
        <v>733</v>
      </c>
      <c r="W189" s="1">
        <f t="shared" si="26"/>
        <v>1.8291999999999999E-8</v>
      </c>
      <c r="Y189" s="1"/>
      <c r="Z189" s="1"/>
      <c r="AA189" s="1"/>
      <c r="AB189" s="1">
        <v>2.6899999999999999E-8</v>
      </c>
      <c r="AC189" s="2"/>
      <c r="AD189">
        <v>6800</v>
      </c>
      <c r="AE189">
        <f>+AE187</f>
        <v>12660</v>
      </c>
      <c r="AF189" s="2">
        <f>+AF187</f>
        <v>2.2999999999999998</v>
      </c>
      <c r="AG189" s="2"/>
      <c r="AH189" s="2">
        <v>0.99299999999999999</v>
      </c>
      <c r="AJ189" s="3"/>
      <c r="AK189" t="s">
        <v>199</v>
      </c>
    </row>
    <row r="190" spans="1:37" x14ac:dyDescent="0.25">
      <c r="A190" t="s">
        <v>55</v>
      </c>
      <c r="B190" t="s">
        <v>53</v>
      </c>
      <c r="C190" t="s">
        <v>54</v>
      </c>
      <c r="D190" t="s">
        <v>16</v>
      </c>
      <c r="E190" t="s">
        <v>17</v>
      </c>
      <c r="F190" t="s">
        <v>18</v>
      </c>
      <c r="G190" t="s">
        <v>18</v>
      </c>
      <c r="H190" t="s">
        <v>18</v>
      </c>
      <c r="I190" t="s">
        <v>704</v>
      </c>
      <c r="J190">
        <v>29</v>
      </c>
      <c r="K190" t="s">
        <v>639</v>
      </c>
      <c r="L190" t="s">
        <v>48</v>
      </c>
      <c r="M190" t="str">
        <f t="shared" si="27"/>
        <v>Stress</v>
      </c>
      <c r="N190" t="s">
        <v>703</v>
      </c>
      <c r="O190" t="str">
        <f t="shared" si="28"/>
        <v>Stress</v>
      </c>
      <c r="P190" t="s">
        <v>424</v>
      </c>
      <c r="Q190" t="s">
        <v>707</v>
      </c>
      <c r="R190" t="s">
        <v>408</v>
      </c>
      <c r="S190" t="s">
        <v>701</v>
      </c>
      <c r="T190" t="s">
        <v>695</v>
      </c>
      <c r="U190" t="s">
        <v>609</v>
      </c>
      <c r="V190" s="1" t="s">
        <v>733</v>
      </c>
      <c r="W190" s="1">
        <f t="shared" si="26"/>
        <v>1.1880000000000002E-9</v>
      </c>
      <c r="Y190" s="1"/>
      <c r="Z190" s="1"/>
      <c r="AA190" s="1"/>
      <c r="AB190" s="1">
        <v>4.4000000000000005E-9</v>
      </c>
      <c r="AC190" s="2"/>
      <c r="AD190">
        <v>2700</v>
      </c>
      <c r="AE190">
        <f>+AE188</f>
        <v>5230</v>
      </c>
      <c r="AF190" s="2">
        <f>+AF188</f>
        <v>0.6</v>
      </c>
      <c r="AG190" s="2"/>
      <c r="AH190" s="2">
        <v>0.69099999999999995</v>
      </c>
      <c r="AJ190" s="3"/>
      <c r="AK190" t="s">
        <v>199</v>
      </c>
    </row>
    <row r="191" spans="1:37" x14ac:dyDescent="0.25">
      <c r="A191" t="s">
        <v>55</v>
      </c>
      <c r="B191" t="s">
        <v>53</v>
      </c>
      <c r="C191" t="s">
        <v>54</v>
      </c>
      <c r="D191" t="s">
        <v>16</v>
      </c>
      <c r="E191" t="s">
        <v>17</v>
      </c>
      <c r="F191" t="s">
        <v>18</v>
      </c>
      <c r="G191" t="s">
        <v>18</v>
      </c>
      <c r="H191" t="s">
        <v>18</v>
      </c>
      <c r="I191" t="s">
        <v>704</v>
      </c>
      <c r="J191">
        <v>29</v>
      </c>
      <c r="K191" t="s">
        <v>639</v>
      </c>
      <c r="L191" t="s">
        <v>36</v>
      </c>
      <c r="M191" t="str">
        <f t="shared" si="27"/>
        <v>Control</v>
      </c>
      <c r="N191" t="s">
        <v>36</v>
      </c>
      <c r="O191" t="str">
        <f t="shared" si="28"/>
        <v>Control</v>
      </c>
      <c r="P191" t="s">
        <v>425</v>
      </c>
      <c r="Q191" t="s">
        <v>707</v>
      </c>
      <c r="R191" t="s">
        <v>408</v>
      </c>
      <c r="S191" t="s">
        <v>701</v>
      </c>
      <c r="T191" t="s">
        <v>695</v>
      </c>
      <c r="U191" t="s">
        <v>609</v>
      </c>
      <c r="V191" s="1" t="s">
        <v>733</v>
      </c>
      <c r="W191" s="1">
        <f t="shared" si="26"/>
        <v>1.9908000000000002E-8</v>
      </c>
      <c r="Y191" s="1"/>
      <c r="Z191" s="1"/>
      <c r="AA191" s="1"/>
      <c r="AB191" s="1">
        <v>3.1600000000000005E-8</v>
      </c>
      <c r="AC191" s="2"/>
      <c r="AD191">
        <v>6300</v>
      </c>
      <c r="AE191">
        <v>12040</v>
      </c>
      <c r="AF191" s="2">
        <v>3.4</v>
      </c>
      <c r="AG191" s="2"/>
      <c r="AH191" s="2">
        <v>1.012</v>
      </c>
      <c r="AJ191" s="3"/>
      <c r="AK191" t="s">
        <v>199</v>
      </c>
    </row>
    <row r="192" spans="1:37" x14ac:dyDescent="0.25">
      <c r="A192" t="s">
        <v>55</v>
      </c>
      <c r="B192" t="s">
        <v>53</v>
      </c>
      <c r="C192" t="s">
        <v>54</v>
      </c>
      <c r="D192" t="s">
        <v>16</v>
      </c>
      <c r="E192" t="s">
        <v>17</v>
      </c>
      <c r="F192" t="s">
        <v>18</v>
      </c>
      <c r="G192" t="s">
        <v>18</v>
      </c>
      <c r="H192" t="s">
        <v>18</v>
      </c>
      <c r="I192" t="s">
        <v>704</v>
      </c>
      <c r="J192">
        <v>29</v>
      </c>
      <c r="K192" t="s">
        <v>639</v>
      </c>
      <c r="L192" t="s">
        <v>48</v>
      </c>
      <c r="M192" t="str">
        <f t="shared" si="27"/>
        <v>Stress</v>
      </c>
      <c r="N192" t="s">
        <v>36</v>
      </c>
      <c r="O192" t="str">
        <f t="shared" si="28"/>
        <v>Control</v>
      </c>
      <c r="P192" t="s">
        <v>425</v>
      </c>
      <c r="Q192" t="s">
        <v>707</v>
      </c>
      <c r="R192" t="s">
        <v>408</v>
      </c>
      <c r="S192" t="s">
        <v>701</v>
      </c>
      <c r="T192" t="s">
        <v>695</v>
      </c>
      <c r="U192" t="s">
        <v>609</v>
      </c>
      <c r="V192" s="1" t="s">
        <v>733</v>
      </c>
      <c r="W192" s="1">
        <f t="shared" si="26"/>
        <v>4.3679999999999998E-9</v>
      </c>
      <c r="Y192" s="1"/>
      <c r="Z192" s="1"/>
      <c r="AA192" s="1"/>
      <c r="AB192" s="1">
        <v>1.5600000000000001E-8</v>
      </c>
      <c r="AC192" s="2"/>
      <c r="AD192">
        <v>2800</v>
      </c>
      <c r="AE192">
        <v>5500</v>
      </c>
      <c r="AF192" s="2">
        <v>0.5</v>
      </c>
      <c r="AG192" s="2"/>
      <c r="AH192" s="2">
        <v>0.64800000000000002</v>
      </c>
      <c r="AJ192" s="3"/>
      <c r="AK192" t="s">
        <v>199</v>
      </c>
    </row>
    <row r="193" spans="1:37" x14ac:dyDescent="0.25">
      <c r="A193" t="s">
        <v>55</v>
      </c>
      <c r="B193" t="s">
        <v>53</v>
      </c>
      <c r="C193" t="s">
        <v>54</v>
      </c>
      <c r="D193" t="s">
        <v>16</v>
      </c>
      <c r="E193" t="s">
        <v>17</v>
      </c>
      <c r="F193" t="s">
        <v>18</v>
      </c>
      <c r="G193" t="s">
        <v>18</v>
      </c>
      <c r="H193" t="s">
        <v>18</v>
      </c>
      <c r="I193" t="s">
        <v>704</v>
      </c>
      <c r="J193">
        <v>29</v>
      </c>
      <c r="K193" t="s">
        <v>639</v>
      </c>
      <c r="L193" t="s">
        <v>36</v>
      </c>
      <c r="M193" t="str">
        <f t="shared" si="27"/>
        <v>Control</v>
      </c>
      <c r="N193" t="s">
        <v>703</v>
      </c>
      <c r="O193" t="str">
        <f t="shared" si="28"/>
        <v>Stress</v>
      </c>
      <c r="P193" t="s">
        <v>425</v>
      </c>
      <c r="Q193" t="s">
        <v>707</v>
      </c>
      <c r="R193" t="s">
        <v>408</v>
      </c>
      <c r="S193" t="s">
        <v>701</v>
      </c>
      <c r="T193" t="s">
        <v>695</v>
      </c>
      <c r="U193" t="s">
        <v>609</v>
      </c>
      <c r="V193" s="1" t="s">
        <v>733</v>
      </c>
      <c r="W193" s="1">
        <f t="shared" si="26"/>
        <v>1.1592000000000002E-8</v>
      </c>
      <c r="Y193" s="1"/>
      <c r="Z193" s="1"/>
      <c r="AA193" s="1"/>
      <c r="AB193" s="1">
        <v>1.8400000000000003E-8</v>
      </c>
      <c r="AC193" s="2"/>
      <c r="AD193">
        <v>6300</v>
      </c>
      <c r="AE193">
        <f>+AE191</f>
        <v>12040</v>
      </c>
      <c r="AF193" s="2">
        <f>+AF191</f>
        <v>3.4</v>
      </c>
      <c r="AG193" s="2"/>
      <c r="AH193" s="2">
        <v>1.012</v>
      </c>
      <c r="AJ193" s="3"/>
      <c r="AK193" t="s">
        <v>199</v>
      </c>
    </row>
    <row r="194" spans="1:37" x14ac:dyDescent="0.25">
      <c r="A194" t="s">
        <v>55</v>
      </c>
      <c r="B194" t="s">
        <v>53</v>
      </c>
      <c r="C194" t="s">
        <v>54</v>
      </c>
      <c r="D194" t="s">
        <v>16</v>
      </c>
      <c r="E194" t="s">
        <v>17</v>
      </c>
      <c r="F194" t="s">
        <v>18</v>
      </c>
      <c r="G194" t="s">
        <v>18</v>
      </c>
      <c r="H194" t="s">
        <v>18</v>
      </c>
      <c r="I194" t="s">
        <v>704</v>
      </c>
      <c r="J194">
        <v>29</v>
      </c>
      <c r="K194" t="s">
        <v>639</v>
      </c>
      <c r="L194" t="s">
        <v>48</v>
      </c>
      <c r="M194" t="str">
        <f t="shared" si="27"/>
        <v>Stress</v>
      </c>
      <c r="N194" t="s">
        <v>703</v>
      </c>
      <c r="O194" t="str">
        <f t="shared" si="28"/>
        <v>Stress</v>
      </c>
      <c r="P194" t="s">
        <v>425</v>
      </c>
      <c r="Q194" t="s">
        <v>707</v>
      </c>
      <c r="R194" t="s">
        <v>408</v>
      </c>
      <c r="S194" t="s">
        <v>701</v>
      </c>
      <c r="T194" t="s">
        <v>695</v>
      </c>
      <c r="U194" t="s">
        <v>609</v>
      </c>
      <c r="V194" s="1" t="s">
        <v>733</v>
      </c>
      <c r="W194" s="1">
        <f t="shared" si="26"/>
        <v>1.316E-9</v>
      </c>
      <c r="Y194" s="1"/>
      <c r="Z194" s="1"/>
      <c r="AA194" s="1"/>
      <c r="AB194" s="1">
        <v>4.6999999999999999E-9</v>
      </c>
      <c r="AC194" s="2"/>
      <c r="AD194">
        <v>2800</v>
      </c>
      <c r="AE194">
        <f>+AE192</f>
        <v>5500</v>
      </c>
      <c r="AF194" s="2">
        <f>+AF192</f>
        <v>0.5</v>
      </c>
      <c r="AG194" s="2"/>
      <c r="AH194" s="2">
        <v>0.64800000000000002</v>
      </c>
      <c r="AJ194" s="3"/>
      <c r="AK194" t="s">
        <v>199</v>
      </c>
    </row>
    <row r="195" spans="1:37" x14ac:dyDescent="0.25">
      <c r="A195" t="s">
        <v>55</v>
      </c>
      <c r="B195" t="s">
        <v>53</v>
      </c>
      <c r="C195" t="s">
        <v>54</v>
      </c>
      <c r="D195" t="s">
        <v>16</v>
      </c>
      <c r="E195" t="s">
        <v>17</v>
      </c>
      <c r="F195" t="s">
        <v>18</v>
      </c>
      <c r="G195" t="s">
        <v>18</v>
      </c>
      <c r="H195" t="s">
        <v>18</v>
      </c>
      <c r="I195" t="s">
        <v>704</v>
      </c>
      <c r="J195">
        <v>29</v>
      </c>
      <c r="K195" t="s">
        <v>639</v>
      </c>
      <c r="L195" t="s">
        <v>36</v>
      </c>
      <c r="M195" t="str">
        <f t="shared" si="27"/>
        <v>Control</v>
      </c>
      <c r="N195" t="s">
        <v>36</v>
      </c>
      <c r="O195" t="str">
        <f t="shared" si="28"/>
        <v>Control</v>
      </c>
      <c r="P195" t="s">
        <v>426</v>
      </c>
      <c r="Q195" t="s">
        <v>707</v>
      </c>
      <c r="R195" t="s">
        <v>408</v>
      </c>
      <c r="S195" t="s">
        <v>701</v>
      </c>
      <c r="T195" t="s">
        <v>695</v>
      </c>
      <c r="U195" t="s">
        <v>609</v>
      </c>
      <c r="V195" s="1" t="s">
        <v>733</v>
      </c>
      <c r="W195" s="1">
        <f t="shared" si="26"/>
        <v>2.3058E-8</v>
      </c>
      <c r="Y195" s="1"/>
      <c r="Z195" s="1"/>
      <c r="AA195" s="1"/>
      <c r="AB195" s="1">
        <v>3.7800000000000001E-8</v>
      </c>
      <c r="AC195" s="2"/>
      <c r="AD195">
        <v>6100</v>
      </c>
      <c r="AE195">
        <v>11510</v>
      </c>
      <c r="AF195" s="2">
        <v>2.8</v>
      </c>
      <c r="AG195" s="2"/>
      <c r="AH195" s="2">
        <v>0.85299999999999998</v>
      </c>
      <c r="AJ195" s="3"/>
      <c r="AK195" t="s">
        <v>199</v>
      </c>
    </row>
    <row r="196" spans="1:37" x14ac:dyDescent="0.25">
      <c r="A196" t="s">
        <v>55</v>
      </c>
      <c r="B196" t="s">
        <v>53</v>
      </c>
      <c r="C196" t="s">
        <v>54</v>
      </c>
      <c r="D196" t="s">
        <v>16</v>
      </c>
      <c r="E196" t="s">
        <v>17</v>
      </c>
      <c r="F196" t="s">
        <v>18</v>
      </c>
      <c r="G196" t="s">
        <v>18</v>
      </c>
      <c r="H196" t="s">
        <v>18</v>
      </c>
      <c r="I196" t="s">
        <v>704</v>
      </c>
      <c r="J196">
        <v>29</v>
      </c>
      <c r="K196" t="s">
        <v>639</v>
      </c>
      <c r="L196" t="s">
        <v>48</v>
      </c>
      <c r="M196" t="str">
        <f t="shared" si="27"/>
        <v>Stress</v>
      </c>
      <c r="N196" t="s">
        <v>36</v>
      </c>
      <c r="O196" t="str">
        <f t="shared" si="28"/>
        <v>Control</v>
      </c>
      <c r="P196" t="s">
        <v>426</v>
      </c>
      <c r="Q196" t="s">
        <v>707</v>
      </c>
      <c r="R196" t="s">
        <v>408</v>
      </c>
      <c r="S196" t="s">
        <v>701</v>
      </c>
      <c r="T196" t="s">
        <v>695</v>
      </c>
      <c r="U196" t="s">
        <v>609</v>
      </c>
      <c r="V196" s="1" t="s">
        <v>733</v>
      </c>
      <c r="W196" s="1">
        <f t="shared" si="26"/>
        <v>4.032000000000001E-9</v>
      </c>
      <c r="Y196" s="1"/>
      <c r="Z196" s="1"/>
      <c r="AA196" s="1"/>
      <c r="AB196" s="1">
        <v>1.1200000000000001E-8</v>
      </c>
      <c r="AC196" s="2"/>
      <c r="AD196">
        <v>3600</v>
      </c>
      <c r="AE196">
        <v>7120</v>
      </c>
      <c r="AF196" s="2">
        <v>0.6</v>
      </c>
      <c r="AG196" s="2"/>
      <c r="AH196" s="2">
        <v>0.51100000000000001</v>
      </c>
      <c r="AJ196" s="3"/>
      <c r="AK196" t="s">
        <v>199</v>
      </c>
    </row>
    <row r="197" spans="1:37" x14ac:dyDescent="0.25">
      <c r="A197" t="s">
        <v>55</v>
      </c>
      <c r="B197" t="s">
        <v>53</v>
      </c>
      <c r="C197" t="s">
        <v>54</v>
      </c>
      <c r="D197" t="s">
        <v>16</v>
      </c>
      <c r="E197" t="s">
        <v>17</v>
      </c>
      <c r="F197" t="s">
        <v>18</v>
      </c>
      <c r="G197" t="s">
        <v>18</v>
      </c>
      <c r="H197" t="s">
        <v>18</v>
      </c>
      <c r="I197" t="s">
        <v>704</v>
      </c>
      <c r="J197">
        <v>29</v>
      </c>
      <c r="K197" t="s">
        <v>639</v>
      </c>
      <c r="L197" t="s">
        <v>36</v>
      </c>
      <c r="M197" t="str">
        <f t="shared" si="27"/>
        <v>Control</v>
      </c>
      <c r="N197" t="s">
        <v>703</v>
      </c>
      <c r="O197" t="str">
        <f t="shared" si="28"/>
        <v>Stress</v>
      </c>
      <c r="P197" t="s">
        <v>426</v>
      </c>
      <c r="Q197" t="s">
        <v>707</v>
      </c>
      <c r="R197" t="s">
        <v>408</v>
      </c>
      <c r="S197" t="s">
        <v>701</v>
      </c>
      <c r="T197" t="s">
        <v>695</v>
      </c>
      <c r="U197" t="s">
        <v>609</v>
      </c>
      <c r="V197" s="1" t="s">
        <v>733</v>
      </c>
      <c r="W197" s="1">
        <f t="shared" si="26"/>
        <v>6.4050000000000009E-9</v>
      </c>
      <c r="Y197" s="1"/>
      <c r="Z197" s="1"/>
      <c r="AA197" s="1"/>
      <c r="AB197" s="1">
        <v>1.0500000000000001E-8</v>
      </c>
      <c r="AC197" s="2"/>
      <c r="AD197">
        <v>6100</v>
      </c>
      <c r="AE197">
        <f>+AE195</f>
        <v>11510</v>
      </c>
      <c r="AF197" s="2">
        <f>+AF195</f>
        <v>2.8</v>
      </c>
      <c r="AG197" s="2"/>
      <c r="AH197" s="2">
        <v>0.85299999999999998</v>
      </c>
      <c r="AJ197" s="3"/>
      <c r="AK197" t="s">
        <v>199</v>
      </c>
    </row>
    <row r="198" spans="1:37" x14ac:dyDescent="0.25">
      <c r="A198" t="s">
        <v>55</v>
      </c>
      <c r="B198" t="s">
        <v>53</v>
      </c>
      <c r="C198" t="s">
        <v>54</v>
      </c>
      <c r="D198" t="s">
        <v>16</v>
      </c>
      <c r="E198" t="s">
        <v>17</v>
      </c>
      <c r="F198" t="s">
        <v>18</v>
      </c>
      <c r="G198" t="s">
        <v>18</v>
      </c>
      <c r="H198" t="s">
        <v>18</v>
      </c>
      <c r="I198" t="s">
        <v>704</v>
      </c>
      <c r="J198">
        <v>29</v>
      </c>
      <c r="K198" t="s">
        <v>639</v>
      </c>
      <c r="L198" t="s">
        <v>48</v>
      </c>
      <c r="M198" t="str">
        <f t="shared" si="27"/>
        <v>Stress</v>
      </c>
      <c r="N198" t="s">
        <v>703</v>
      </c>
      <c r="O198" t="str">
        <f t="shared" si="28"/>
        <v>Stress</v>
      </c>
      <c r="P198" t="s">
        <v>426</v>
      </c>
      <c r="Q198" t="s">
        <v>707</v>
      </c>
      <c r="R198" t="s">
        <v>408</v>
      </c>
      <c r="S198" t="s">
        <v>701</v>
      </c>
      <c r="T198" t="s">
        <v>695</v>
      </c>
      <c r="U198" t="s">
        <v>609</v>
      </c>
      <c r="V198" s="1" t="s">
        <v>733</v>
      </c>
      <c r="W198" s="1">
        <f t="shared" si="26"/>
        <v>2.4120000000000004E-9</v>
      </c>
      <c r="Y198" s="1"/>
      <c r="Z198" s="1"/>
      <c r="AA198" s="1"/>
      <c r="AB198" s="1">
        <v>6.7000000000000004E-9</v>
      </c>
      <c r="AC198" s="2"/>
      <c r="AD198">
        <v>3600</v>
      </c>
      <c r="AE198">
        <f>+AE196</f>
        <v>7120</v>
      </c>
      <c r="AF198" s="2">
        <f>+AF196</f>
        <v>0.6</v>
      </c>
      <c r="AG198" s="2"/>
      <c r="AH198" s="2">
        <v>0.51100000000000001</v>
      </c>
      <c r="AJ198" s="3"/>
      <c r="AK198" t="s">
        <v>199</v>
      </c>
    </row>
    <row r="199" spans="1:37" x14ac:dyDescent="0.25">
      <c r="A199" t="s">
        <v>55</v>
      </c>
      <c r="B199" t="s">
        <v>53</v>
      </c>
      <c r="C199" t="s">
        <v>54</v>
      </c>
      <c r="D199" t="s">
        <v>16</v>
      </c>
      <c r="E199" t="s">
        <v>17</v>
      </c>
      <c r="F199" t="s">
        <v>18</v>
      </c>
      <c r="G199" t="s">
        <v>18</v>
      </c>
      <c r="H199" t="s">
        <v>18</v>
      </c>
      <c r="I199" t="s">
        <v>704</v>
      </c>
      <c r="J199">
        <v>29</v>
      </c>
      <c r="K199" t="s">
        <v>639</v>
      </c>
      <c r="L199" t="s">
        <v>36</v>
      </c>
      <c r="M199" t="str">
        <f t="shared" si="27"/>
        <v>Control</v>
      </c>
      <c r="N199" t="s">
        <v>36</v>
      </c>
      <c r="O199" t="str">
        <f t="shared" si="28"/>
        <v>Control</v>
      </c>
      <c r="P199" t="s">
        <v>427</v>
      </c>
      <c r="Q199" t="s">
        <v>707</v>
      </c>
      <c r="R199" t="s">
        <v>408</v>
      </c>
      <c r="S199" t="s">
        <v>701</v>
      </c>
      <c r="T199" t="s">
        <v>695</v>
      </c>
      <c r="U199" t="s">
        <v>609</v>
      </c>
      <c r="V199" s="1" t="s">
        <v>733</v>
      </c>
      <c r="W199" s="1">
        <f t="shared" si="26"/>
        <v>1.4103999999999998E-8</v>
      </c>
      <c r="Y199" s="1"/>
      <c r="Z199" s="1"/>
      <c r="AA199" s="1"/>
      <c r="AB199" s="1">
        <v>3.2799999999999996E-8</v>
      </c>
      <c r="AC199" s="2"/>
      <c r="AD199">
        <v>4300</v>
      </c>
      <c r="AE199">
        <v>8440</v>
      </c>
      <c r="AF199" s="2">
        <v>2.1</v>
      </c>
      <c r="AG199" s="2"/>
      <c r="AH199" s="2">
        <v>0.77700000000000002</v>
      </c>
      <c r="AJ199" s="3"/>
      <c r="AK199" t="s">
        <v>199</v>
      </c>
    </row>
    <row r="200" spans="1:37" x14ac:dyDescent="0.25">
      <c r="A200" t="s">
        <v>55</v>
      </c>
      <c r="B200" t="s">
        <v>53</v>
      </c>
      <c r="C200" t="s">
        <v>54</v>
      </c>
      <c r="D200" t="s">
        <v>16</v>
      </c>
      <c r="E200" t="s">
        <v>17</v>
      </c>
      <c r="F200" t="s">
        <v>18</v>
      </c>
      <c r="G200" t="s">
        <v>18</v>
      </c>
      <c r="H200" t="s">
        <v>18</v>
      </c>
      <c r="I200" t="s">
        <v>704</v>
      </c>
      <c r="J200">
        <v>29</v>
      </c>
      <c r="K200" t="s">
        <v>639</v>
      </c>
      <c r="L200" t="s">
        <v>48</v>
      </c>
      <c r="M200" t="str">
        <f t="shared" si="27"/>
        <v>Stress</v>
      </c>
      <c r="N200" t="s">
        <v>36</v>
      </c>
      <c r="O200" t="str">
        <f t="shared" si="28"/>
        <v>Control</v>
      </c>
      <c r="P200" t="s">
        <v>427</v>
      </c>
      <c r="Q200" t="s">
        <v>707</v>
      </c>
      <c r="R200" t="s">
        <v>408</v>
      </c>
      <c r="S200" t="s">
        <v>701</v>
      </c>
      <c r="T200" t="s">
        <v>695</v>
      </c>
      <c r="U200" t="s">
        <v>609</v>
      </c>
      <c r="V200" s="1" t="s">
        <v>733</v>
      </c>
      <c r="W200" s="1">
        <f t="shared" si="26"/>
        <v>7.9040000000000008E-9</v>
      </c>
      <c r="Y200" s="1"/>
      <c r="Z200" s="1"/>
      <c r="AA200" s="1"/>
      <c r="AB200" s="1">
        <v>3.0400000000000001E-8</v>
      </c>
      <c r="AC200" s="2"/>
      <c r="AD200">
        <v>2600</v>
      </c>
      <c r="AE200">
        <v>5180</v>
      </c>
      <c r="AF200" s="2">
        <v>0.4</v>
      </c>
      <c r="AG200" s="2"/>
      <c r="AH200" s="2">
        <v>0.47199999999999998</v>
      </c>
      <c r="AJ200" s="3"/>
      <c r="AK200" t="s">
        <v>199</v>
      </c>
    </row>
    <row r="201" spans="1:37" x14ac:dyDescent="0.25">
      <c r="A201" t="s">
        <v>55</v>
      </c>
      <c r="B201" t="s">
        <v>53</v>
      </c>
      <c r="C201" t="s">
        <v>54</v>
      </c>
      <c r="D201" t="s">
        <v>16</v>
      </c>
      <c r="E201" t="s">
        <v>17</v>
      </c>
      <c r="F201" t="s">
        <v>18</v>
      </c>
      <c r="G201" t="s">
        <v>18</v>
      </c>
      <c r="H201" t="s">
        <v>18</v>
      </c>
      <c r="I201" t="s">
        <v>704</v>
      </c>
      <c r="J201">
        <v>29</v>
      </c>
      <c r="K201" t="s">
        <v>639</v>
      </c>
      <c r="L201" t="s">
        <v>36</v>
      </c>
      <c r="M201" t="str">
        <f t="shared" si="27"/>
        <v>Control</v>
      </c>
      <c r="N201" t="s">
        <v>703</v>
      </c>
      <c r="O201" t="str">
        <f t="shared" si="28"/>
        <v>Stress</v>
      </c>
      <c r="P201" t="s">
        <v>427</v>
      </c>
      <c r="Q201" t="s">
        <v>707</v>
      </c>
      <c r="R201" t="s">
        <v>408</v>
      </c>
      <c r="S201" t="s">
        <v>701</v>
      </c>
      <c r="T201" t="s">
        <v>695</v>
      </c>
      <c r="U201" t="s">
        <v>609</v>
      </c>
      <c r="V201" s="1" t="s">
        <v>733</v>
      </c>
      <c r="W201" s="1">
        <f t="shared" si="26"/>
        <v>6.0200000000000003E-9</v>
      </c>
      <c r="Y201" s="1"/>
      <c r="Z201" s="1"/>
      <c r="AA201" s="1"/>
      <c r="AB201" s="1">
        <v>1.4E-8</v>
      </c>
      <c r="AC201" s="2"/>
      <c r="AD201">
        <v>4300</v>
      </c>
      <c r="AE201">
        <f>+AE199</f>
        <v>8440</v>
      </c>
      <c r="AF201" s="2">
        <f>+AF199</f>
        <v>2.1</v>
      </c>
      <c r="AG201" s="2"/>
      <c r="AH201" s="2">
        <v>0.77700000000000002</v>
      </c>
      <c r="AJ201" s="3"/>
      <c r="AK201" t="s">
        <v>199</v>
      </c>
    </row>
    <row r="202" spans="1:37" x14ac:dyDescent="0.25">
      <c r="A202" t="s">
        <v>55</v>
      </c>
      <c r="B202" t="s">
        <v>53</v>
      </c>
      <c r="C202" t="s">
        <v>54</v>
      </c>
      <c r="D202" t="s">
        <v>16</v>
      </c>
      <c r="E202" t="s">
        <v>17</v>
      </c>
      <c r="F202" t="s">
        <v>18</v>
      </c>
      <c r="G202" t="s">
        <v>18</v>
      </c>
      <c r="H202" t="s">
        <v>18</v>
      </c>
      <c r="I202" t="s">
        <v>704</v>
      </c>
      <c r="J202">
        <v>29</v>
      </c>
      <c r="K202" t="s">
        <v>639</v>
      </c>
      <c r="L202" t="s">
        <v>48</v>
      </c>
      <c r="M202" t="str">
        <f t="shared" si="27"/>
        <v>Stress</v>
      </c>
      <c r="N202" t="s">
        <v>703</v>
      </c>
      <c r="O202" t="str">
        <f t="shared" si="28"/>
        <v>Stress</v>
      </c>
      <c r="P202" t="s">
        <v>427</v>
      </c>
      <c r="Q202" t="s">
        <v>707</v>
      </c>
      <c r="R202" t="s">
        <v>408</v>
      </c>
      <c r="S202" t="s">
        <v>701</v>
      </c>
      <c r="T202" t="s">
        <v>695</v>
      </c>
      <c r="U202" t="s">
        <v>609</v>
      </c>
      <c r="V202" s="1" t="s">
        <v>733</v>
      </c>
      <c r="W202" s="1">
        <f t="shared" si="26"/>
        <v>2.4439999999999998E-9</v>
      </c>
      <c r="Y202" s="1"/>
      <c r="Z202" s="1"/>
      <c r="AA202" s="1"/>
      <c r="AB202" s="1">
        <v>9.3999999999999998E-9</v>
      </c>
      <c r="AC202" s="2"/>
      <c r="AD202">
        <v>2600</v>
      </c>
      <c r="AE202">
        <f>+AE200</f>
        <v>5180</v>
      </c>
      <c r="AF202" s="2">
        <f>+AF200</f>
        <v>0.4</v>
      </c>
      <c r="AG202" s="2"/>
      <c r="AH202" s="2">
        <v>0.47199999999999998</v>
      </c>
      <c r="AJ202" s="3"/>
      <c r="AK202" t="s">
        <v>199</v>
      </c>
    </row>
    <row r="203" spans="1:37" hidden="1" x14ac:dyDescent="0.25">
      <c r="A203" t="s">
        <v>569</v>
      </c>
      <c r="B203" t="s">
        <v>357</v>
      </c>
      <c r="C203" t="s">
        <v>139</v>
      </c>
      <c r="D203" t="s">
        <v>140</v>
      </c>
      <c r="E203" t="s">
        <v>17</v>
      </c>
      <c r="F203" t="s">
        <v>69</v>
      </c>
      <c r="G203" t="s">
        <v>616</v>
      </c>
      <c r="H203" t="s">
        <v>760</v>
      </c>
      <c r="I203" t="s">
        <v>705</v>
      </c>
      <c r="K203" t="s">
        <v>570</v>
      </c>
      <c r="L203" t="s">
        <v>36</v>
      </c>
      <c r="M203" t="str">
        <f t="shared" si="27"/>
        <v>Control</v>
      </c>
      <c r="R203" t="s">
        <v>408</v>
      </c>
      <c r="S203" t="s">
        <v>701</v>
      </c>
      <c r="T203" t="s">
        <v>695</v>
      </c>
      <c r="U203" t="s">
        <v>609</v>
      </c>
      <c r="V203" s="1"/>
      <c r="W203" s="1"/>
      <c r="Y203" s="1"/>
      <c r="Z203" s="1"/>
      <c r="AA203" s="1"/>
      <c r="AB203" s="1">
        <f>'[29]Rasheed-Depardieu_etal_2015_Fig'!B2</f>
        <v>4.4384858044163998E-8</v>
      </c>
      <c r="AC203" s="2"/>
      <c r="AF203" s="3"/>
      <c r="AG203" s="2"/>
      <c r="AJ203" s="3"/>
      <c r="AK203" t="s">
        <v>198</v>
      </c>
    </row>
    <row r="204" spans="1:37" hidden="1" x14ac:dyDescent="0.25">
      <c r="A204" t="s">
        <v>569</v>
      </c>
      <c r="B204" t="s">
        <v>357</v>
      </c>
      <c r="C204" t="s">
        <v>139</v>
      </c>
      <c r="D204" t="s">
        <v>140</v>
      </c>
      <c r="E204" t="s">
        <v>17</v>
      </c>
      <c r="F204" t="s">
        <v>69</v>
      </c>
      <c r="G204" t="s">
        <v>616</v>
      </c>
      <c r="H204" t="s">
        <v>760</v>
      </c>
      <c r="I204" t="s">
        <v>705</v>
      </c>
      <c r="K204" t="s">
        <v>570</v>
      </c>
      <c r="L204" t="s">
        <v>570</v>
      </c>
      <c r="M204" t="str">
        <f t="shared" si="27"/>
        <v>Stress</v>
      </c>
      <c r="R204" t="s">
        <v>408</v>
      </c>
      <c r="S204" t="s">
        <v>701</v>
      </c>
      <c r="T204" t="s">
        <v>695</v>
      </c>
      <c r="U204" t="s">
        <v>609</v>
      </c>
      <c r="V204" s="1"/>
      <c r="W204" s="1"/>
      <c r="Y204" s="1"/>
      <c r="Z204" s="1"/>
      <c r="AA204" s="1"/>
      <c r="AB204" s="1">
        <f>'[29]Rasheed-Depardieu_etal_2015_Fig'!B3</f>
        <v>1.9652996845425801E-8</v>
      </c>
      <c r="AC204" s="2"/>
      <c r="AF204" s="3"/>
      <c r="AG204" s="2"/>
      <c r="AJ204" s="3"/>
      <c r="AK204" t="s">
        <v>198</v>
      </c>
    </row>
    <row r="205" spans="1:37" hidden="1" x14ac:dyDescent="0.25">
      <c r="A205" t="s">
        <v>569</v>
      </c>
      <c r="B205" t="s">
        <v>294</v>
      </c>
      <c r="C205" t="s">
        <v>139</v>
      </c>
      <c r="D205" t="s">
        <v>140</v>
      </c>
      <c r="E205" t="s">
        <v>17</v>
      </c>
      <c r="F205" t="s">
        <v>69</v>
      </c>
      <c r="G205" t="s">
        <v>616</v>
      </c>
      <c r="H205" t="s">
        <v>760</v>
      </c>
      <c r="I205" t="s">
        <v>705</v>
      </c>
      <c r="K205" t="s">
        <v>570</v>
      </c>
      <c r="L205" t="s">
        <v>36</v>
      </c>
      <c r="M205" t="str">
        <f t="shared" si="27"/>
        <v>Control</v>
      </c>
      <c r="R205" t="s">
        <v>408</v>
      </c>
      <c r="S205" t="s">
        <v>701</v>
      </c>
      <c r="T205" t="s">
        <v>695</v>
      </c>
      <c r="U205" t="s">
        <v>609</v>
      </c>
      <c r="V205" s="1"/>
      <c r="W205" s="1"/>
      <c r="Y205" s="1"/>
      <c r="Z205" s="1"/>
      <c r="AA205" s="1"/>
      <c r="AB205" s="1">
        <f>'[29]Rasheed-Depardieu_etal_2015_Fig'!B4</f>
        <v>4.7601476014760102E-8</v>
      </c>
      <c r="AC205" s="2"/>
      <c r="AF205" s="3"/>
      <c r="AG205" s="2"/>
      <c r="AJ205" s="3"/>
      <c r="AK205" t="s">
        <v>198</v>
      </c>
    </row>
    <row r="206" spans="1:37" hidden="1" x14ac:dyDescent="0.25">
      <c r="A206" t="s">
        <v>569</v>
      </c>
      <c r="B206" t="s">
        <v>294</v>
      </c>
      <c r="C206" t="s">
        <v>139</v>
      </c>
      <c r="D206" t="s">
        <v>140</v>
      </c>
      <c r="E206" t="s">
        <v>17</v>
      </c>
      <c r="F206" t="s">
        <v>69</v>
      </c>
      <c r="G206" t="s">
        <v>616</v>
      </c>
      <c r="H206" t="s">
        <v>760</v>
      </c>
      <c r="I206" t="s">
        <v>705</v>
      </c>
      <c r="K206" t="s">
        <v>570</v>
      </c>
      <c r="L206" t="s">
        <v>570</v>
      </c>
      <c r="M206" t="str">
        <f t="shared" si="27"/>
        <v>Stress</v>
      </c>
      <c r="R206" t="s">
        <v>408</v>
      </c>
      <c r="S206" t="s">
        <v>701</v>
      </c>
      <c r="T206" t="s">
        <v>695</v>
      </c>
      <c r="U206" t="s">
        <v>609</v>
      </c>
      <c r="V206" s="1"/>
      <c r="W206" s="1"/>
      <c r="Y206" s="1"/>
      <c r="Z206" s="1"/>
      <c r="AA206" s="1"/>
      <c r="AB206" s="1">
        <f>'[29]Rasheed-Depardieu_etal_2015_Fig'!B5</f>
        <v>4.0959409594095897E-8</v>
      </c>
      <c r="AC206" s="2"/>
      <c r="AF206" s="3"/>
      <c r="AG206" s="2"/>
      <c r="AJ206" s="3"/>
      <c r="AK206" t="s">
        <v>198</v>
      </c>
    </row>
    <row r="207" spans="1:37" hidden="1" x14ac:dyDescent="0.25">
      <c r="A207" t="s">
        <v>56</v>
      </c>
      <c r="B207" t="s">
        <v>14</v>
      </c>
      <c r="C207" t="s">
        <v>15</v>
      </c>
      <c r="D207" t="s">
        <v>16</v>
      </c>
      <c r="E207" t="s">
        <v>17</v>
      </c>
      <c r="F207" t="s">
        <v>18</v>
      </c>
      <c r="G207" t="s">
        <v>18</v>
      </c>
      <c r="H207" t="s">
        <v>18</v>
      </c>
      <c r="I207" t="s">
        <v>704</v>
      </c>
      <c r="J207">
        <v>4</v>
      </c>
      <c r="K207" t="s">
        <v>623</v>
      </c>
      <c r="L207" t="s">
        <v>36</v>
      </c>
      <c r="M207" t="str">
        <f t="shared" si="27"/>
        <v>Control</v>
      </c>
      <c r="N207" t="s">
        <v>428</v>
      </c>
      <c r="O207" t="s">
        <v>707</v>
      </c>
      <c r="R207" t="s">
        <v>408</v>
      </c>
      <c r="S207" t="s">
        <v>701</v>
      </c>
      <c r="T207" t="s">
        <v>695</v>
      </c>
      <c r="U207" t="s">
        <v>609</v>
      </c>
      <c r="V207" s="1"/>
      <c r="W207" s="1"/>
      <c r="X207" s="1"/>
      <c r="Y207" s="1"/>
      <c r="Z207" s="1"/>
      <c r="AA207" s="1"/>
      <c r="AB207" s="1">
        <f>[30]Kaneko_etal_2015_FigS1!B2</f>
        <v>2.33475479744136E-7</v>
      </c>
      <c r="AC207" s="1"/>
      <c r="AF207" s="2"/>
      <c r="AG207" s="2"/>
      <c r="AK207" t="s">
        <v>199</v>
      </c>
    </row>
    <row r="208" spans="1:37" hidden="1" x14ac:dyDescent="0.25">
      <c r="A208" t="s">
        <v>56</v>
      </c>
      <c r="B208" t="s">
        <v>14</v>
      </c>
      <c r="C208" t="s">
        <v>15</v>
      </c>
      <c r="D208" t="s">
        <v>16</v>
      </c>
      <c r="E208" t="s">
        <v>17</v>
      </c>
      <c r="F208" t="s">
        <v>18</v>
      </c>
      <c r="G208" t="s">
        <v>18</v>
      </c>
      <c r="H208" t="s">
        <v>18</v>
      </c>
      <c r="I208" t="s">
        <v>704</v>
      </c>
      <c r="J208">
        <v>4</v>
      </c>
      <c r="K208" t="s">
        <v>623</v>
      </c>
      <c r="L208" t="s">
        <v>36</v>
      </c>
      <c r="M208" t="str">
        <f t="shared" si="27"/>
        <v>Control</v>
      </c>
      <c r="N208" t="s">
        <v>429</v>
      </c>
      <c r="O208" t="s">
        <v>707</v>
      </c>
      <c r="R208" t="s">
        <v>408</v>
      </c>
      <c r="S208" t="s">
        <v>701</v>
      </c>
      <c r="T208" t="s">
        <v>695</v>
      </c>
      <c r="U208" t="s">
        <v>609</v>
      </c>
      <c r="V208" s="1"/>
      <c r="W208" s="1"/>
      <c r="X208" s="1"/>
      <c r="Y208" s="1"/>
      <c r="Z208" s="1"/>
      <c r="AA208" s="1"/>
      <c r="AB208" s="1">
        <f>[30]Kaneko_etal_2015_FigS1!B3</f>
        <v>5.6929637526652397E-7</v>
      </c>
      <c r="AC208" s="1"/>
      <c r="AF208" s="2"/>
      <c r="AG208" s="2"/>
      <c r="AK208" t="s">
        <v>199</v>
      </c>
    </row>
    <row r="209" spans="1:37" hidden="1" x14ac:dyDescent="0.25">
      <c r="A209" t="s">
        <v>56</v>
      </c>
      <c r="B209" t="s">
        <v>14</v>
      </c>
      <c r="C209" t="s">
        <v>15</v>
      </c>
      <c r="D209" t="s">
        <v>16</v>
      </c>
      <c r="E209" t="s">
        <v>17</v>
      </c>
      <c r="F209" t="s">
        <v>18</v>
      </c>
      <c r="G209" t="s">
        <v>18</v>
      </c>
      <c r="H209" t="s">
        <v>18</v>
      </c>
      <c r="I209" t="s">
        <v>704</v>
      </c>
      <c r="J209">
        <v>4</v>
      </c>
      <c r="K209" t="s">
        <v>623</v>
      </c>
      <c r="L209" t="s">
        <v>36</v>
      </c>
      <c r="M209" t="str">
        <f t="shared" si="27"/>
        <v>Control</v>
      </c>
      <c r="N209" t="s">
        <v>430</v>
      </c>
      <c r="O209" t="s">
        <v>707</v>
      </c>
      <c r="R209" t="s">
        <v>408</v>
      </c>
      <c r="S209" t="s">
        <v>701</v>
      </c>
      <c r="T209" t="s">
        <v>695</v>
      </c>
      <c r="U209" t="s">
        <v>609</v>
      </c>
      <c r="V209" s="1"/>
      <c r="W209" s="1"/>
      <c r="X209" s="1"/>
      <c r="Y209" s="1"/>
      <c r="Z209" s="1"/>
      <c r="AA209" s="1"/>
      <c r="AB209" s="1">
        <f>[30]Kaneko_etal_2015_FigS1!B4</f>
        <v>1.6311300639658801E-7</v>
      </c>
      <c r="AC209" s="1"/>
      <c r="AF209" s="2"/>
      <c r="AG209" s="2"/>
      <c r="AK209" t="s">
        <v>199</v>
      </c>
    </row>
    <row r="210" spans="1:37" hidden="1" x14ac:dyDescent="0.25">
      <c r="A210" t="s">
        <v>56</v>
      </c>
      <c r="B210" t="s">
        <v>14</v>
      </c>
      <c r="C210" t="s">
        <v>15</v>
      </c>
      <c r="D210" t="s">
        <v>16</v>
      </c>
      <c r="E210" t="s">
        <v>17</v>
      </c>
      <c r="F210" t="s">
        <v>18</v>
      </c>
      <c r="G210" t="s">
        <v>18</v>
      </c>
      <c r="H210" t="s">
        <v>18</v>
      </c>
      <c r="I210" t="s">
        <v>704</v>
      </c>
      <c r="J210">
        <v>4</v>
      </c>
      <c r="K210" t="s">
        <v>623</v>
      </c>
      <c r="L210" t="s">
        <v>36</v>
      </c>
      <c r="M210" t="str">
        <f t="shared" si="27"/>
        <v>Control</v>
      </c>
      <c r="N210" t="s">
        <v>431</v>
      </c>
      <c r="O210" t="s">
        <v>707</v>
      </c>
      <c r="R210" t="s">
        <v>408</v>
      </c>
      <c r="S210" t="s">
        <v>701</v>
      </c>
      <c r="T210" t="s">
        <v>695</v>
      </c>
      <c r="U210" t="s">
        <v>609</v>
      </c>
      <c r="V210" s="1"/>
      <c r="W210" s="1"/>
      <c r="X210" s="1"/>
      <c r="Y210" s="1"/>
      <c r="Z210" s="1"/>
      <c r="AA210" s="1"/>
      <c r="AB210" s="1">
        <f>[30]Kaneko_etal_2015_FigS1!B5</f>
        <v>3.0703624733475401E-7</v>
      </c>
      <c r="AC210" s="1"/>
      <c r="AF210" s="2"/>
      <c r="AG210" s="2"/>
      <c r="AK210" t="s">
        <v>199</v>
      </c>
    </row>
    <row r="211" spans="1:37" hidden="1" x14ac:dyDescent="0.25">
      <c r="A211" t="s">
        <v>56</v>
      </c>
      <c r="B211" t="s">
        <v>14</v>
      </c>
      <c r="C211" t="s">
        <v>15</v>
      </c>
      <c r="D211" t="s">
        <v>16</v>
      </c>
      <c r="E211" t="s">
        <v>17</v>
      </c>
      <c r="F211" t="s">
        <v>18</v>
      </c>
      <c r="G211" t="s">
        <v>18</v>
      </c>
      <c r="H211" t="s">
        <v>18</v>
      </c>
      <c r="I211" t="s">
        <v>704</v>
      </c>
      <c r="J211">
        <v>4</v>
      </c>
      <c r="K211" t="s">
        <v>623</v>
      </c>
      <c r="L211" t="s">
        <v>81</v>
      </c>
      <c r="M211" t="str">
        <f t="shared" ref="M211:M214" si="29">+IF(L211 = "Control", "Control", "Stress")</f>
        <v>Stress</v>
      </c>
      <c r="N211" t="s">
        <v>428</v>
      </c>
      <c r="O211" t="s">
        <v>707</v>
      </c>
      <c r="R211" t="s">
        <v>408</v>
      </c>
      <c r="S211" t="s">
        <v>701</v>
      </c>
      <c r="T211" t="s">
        <v>695</v>
      </c>
      <c r="U211" t="s">
        <v>609</v>
      </c>
      <c r="V211" s="1"/>
      <c r="W211" s="1"/>
      <c r="X211" s="1"/>
      <c r="Y211" s="1"/>
      <c r="Z211" s="1"/>
      <c r="AA211" s="1"/>
      <c r="AB211" s="1">
        <f>[30]Kaneko_etal_2015_FigS1!B6</f>
        <v>2.8784648187632601E-8</v>
      </c>
      <c r="AC211" s="1"/>
      <c r="AF211" s="2"/>
      <c r="AG211" s="2"/>
      <c r="AK211" t="s">
        <v>199</v>
      </c>
    </row>
    <row r="212" spans="1:37" hidden="1" x14ac:dyDescent="0.25">
      <c r="A212" t="s">
        <v>56</v>
      </c>
      <c r="B212" t="s">
        <v>14</v>
      </c>
      <c r="C212" t="s">
        <v>15</v>
      </c>
      <c r="D212" t="s">
        <v>16</v>
      </c>
      <c r="E212" t="s">
        <v>17</v>
      </c>
      <c r="F212" t="s">
        <v>18</v>
      </c>
      <c r="G212" t="s">
        <v>18</v>
      </c>
      <c r="H212" t="s">
        <v>18</v>
      </c>
      <c r="I212" t="s">
        <v>704</v>
      </c>
      <c r="J212">
        <v>4</v>
      </c>
      <c r="K212" t="s">
        <v>623</v>
      </c>
      <c r="L212" t="s">
        <v>81</v>
      </c>
      <c r="M212" t="str">
        <f t="shared" si="29"/>
        <v>Stress</v>
      </c>
      <c r="N212" t="s">
        <v>429</v>
      </c>
      <c r="O212" t="s">
        <v>707</v>
      </c>
      <c r="R212" t="s">
        <v>408</v>
      </c>
      <c r="S212" t="s">
        <v>701</v>
      </c>
      <c r="T212" t="s">
        <v>695</v>
      </c>
      <c r="U212" t="s">
        <v>609</v>
      </c>
      <c r="V212" s="1"/>
      <c r="W212" s="1"/>
      <c r="X212" s="1"/>
      <c r="Y212" s="1"/>
      <c r="Z212" s="1"/>
      <c r="AA212" s="1"/>
      <c r="AB212" s="1">
        <f>[30]Kaneko_etal_2015_FigS1!B7</f>
        <v>3.4541577825159898E-7</v>
      </c>
      <c r="AC212" s="1"/>
      <c r="AF212" s="2"/>
      <c r="AG212" s="2"/>
      <c r="AK212" t="s">
        <v>199</v>
      </c>
    </row>
    <row r="213" spans="1:37" hidden="1" x14ac:dyDescent="0.25">
      <c r="A213" t="s">
        <v>56</v>
      </c>
      <c r="B213" t="s">
        <v>14</v>
      </c>
      <c r="C213" t="s">
        <v>15</v>
      </c>
      <c r="D213" t="s">
        <v>16</v>
      </c>
      <c r="E213" t="s">
        <v>17</v>
      </c>
      <c r="F213" t="s">
        <v>18</v>
      </c>
      <c r="G213" t="s">
        <v>18</v>
      </c>
      <c r="H213" t="s">
        <v>18</v>
      </c>
      <c r="I213" t="s">
        <v>704</v>
      </c>
      <c r="J213">
        <v>4</v>
      </c>
      <c r="K213" t="s">
        <v>623</v>
      </c>
      <c r="L213" t="s">
        <v>81</v>
      </c>
      <c r="M213" t="str">
        <f t="shared" si="29"/>
        <v>Stress</v>
      </c>
      <c r="N213" t="s">
        <v>430</v>
      </c>
      <c r="O213" t="s">
        <v>707</v>
      </c>
      <c r="R213" t="s">
        <v>408</v>
      </c>
      <c r="S213" t="s">
        <v>701</v>
      </c>
      <c r="T213" t="s">
        <v>695</v>
      </c>
      <c r="U213" t="s">
        <v>609</v>
      </c>
      <c r="V213" s="1"/>
      <c r="W213" s="1"/>
      <c r="X213" s="1"/>
      <c r="Y213" s="1"/>
      <c r="Z213" s="1"/>
      <c r="AA213" s="1"/>
      <c r="AB213" s="1">
        <f>[30]Kaneko_etal_2015_FigS1!B8</f>
        <v>5.7569296375266505E-7</v>
      </c>
      <c r="AC213" s="1"/>
      <c r="AF213" s="2"/>
      <c r="AG213" s="2"/>
      <c r="AK213" t="s">
        <v>199</v>
      </c>
    </row>
    <row r="214" spans="1:37" hidden="1" x14ac:dyDescent="0.25">
      <c r="A214" t="s">
        <v>56</v>
      </c>
      <c r="B214" t="s">
        <v>14</v>
      </c>
      <c r="C214" t="s">
        <v>15</v>
      </c>
      <c r="D214" t="s">
        <v>16</v>
      </c>
      <c r="E214" t="s">
        <v>17</v>
      </c>
      <c r="F214" t="s">
        <v>18</v>
      </c>
      <c r="G214" t="s">
        <v>18</v>
      </c>
      <c r="H214" t="s">
        <v>18</v>
      </c>
      <c r="I214" t="s">
        <v>704</v>
      </c>
      <c r="J214">
        <v>4</v>
      </c>
      <c r="K214" t="s">
        <v>623</v>
      </c>
      <c r="L214" t="s">
        <v>81</v>
      </c>
      <c r="M214" t="str">
        <f t="shared" si="29"/>
        <v>Stress</v>
      </c>
      <c r="N214" t="s">
        <v>431</v>
      </c>
      <c r="O214" t="s">
        <v>707</v>
      </c>
      <c r="R214" t="s">
        <v>408</v>
      </c>
      <c r="S214" t="s">
        <v>701</v>
      </c>
      <c r="T214" t="s">
        <v>695</v>
      </c>
      <c r="U214" t="s">
        <v>609</v>
      </c>
      <c r="V214" s="1"/>
      <c r="W214" s="1"/>
      <c r="X214" s="1"/>
      <c r="Y214" s="1"/>
      <c r="Z214" s="1"/>
      <c r="AA214" s="1"/>
      <c r="AB214" s="1">
        <f>[30]Kaneko_etal_2015_FigS1!B9</f>
        <v>3.8912579957355999E-7</v>
      </c>
      <c r="AC214" s="1"/>
      <c r="AF214" s="2"/>
      <c r="AG214" s="2"/>
      <c r="AK214" t="s">
        <v>199</v>
      </c>
    </row>
    <row r="215" spans="1:37" hidden="1" x14ac:dyDescent="0.25">
      <c r="A215" t="s">
        <v>572</v>
      </c>
      <c r="B215" t="s">
        <v>583</v>
      </c>
      <c r="C215" t="s">
        <v>573</v>
      </c>
      <c r="D215" t="s">
        <v>574</v>
      </c>
      <c r="E215" t="s">
        <v>17</v>
      </c>
      <c r="F215" t="s">
        <v>614</v>
      </c>
      <c r="G215" t="s">
        <v>614</v>
      </c>
      <c r="H215" t="s">
        <v>801</v>
      </c>
      <c r="I215" t="s">
        <v>804</v>
      </c>
      <c r="J215">
        <f>3*7</f>
        <v>21</v>
      </c>
      <c r="K215" t="s">
        <v>756</v>
      </c>
      <c r="L215" t="s">
        <v>756</v>
      </c>
      <c r="M215" t="s">
        <v>756</v>
      </c>
      <c r="R215" t="s">
        <v>408</v>
      </c>
      <c r="S215" t="s">
        <v>701</v>
      </c>
      <c r="T215" t="s">
        <v>695</v>
      </c>
      <c r="U215" t="s">
        <v>609</v>
      </c>
      <c r="V215" s="1" t="s">
        <v>774</v>
      </c>
      <c r="W215" s="1">
        <v>2.8000000000000002E-10</v>
      </c>
      <c r="X215" s="1"/>
      <c r="Y215" s="1"/>
      <c r="Z215" s="1">
        <v>2.2000000000000002E-11</v>
      </c>
      <c r="AA215" s="1"/>
      <c r="AB215" s="1">
        <v>3.1E-8</v>
      </c>
      <c r="AC215" s="1"/>
      <c r="AD215">
        <v>95.7</v>
      </c>
      <c r="AE215">
        <v>1345</v>
      </c>
      <c r="AF215" s="2">
        <v>2.3E-2</v>
      </c>
      <c r="AG215" s="2"/>
      <c r="AH215" s="2">
        <v>0.224</v>
      </c>
      <c r="AI215" s="5">
        <f>1.5*AE215/100/10000</f>
        <v>2.0175000000000002E-3</v>
      </c>
      <c r="AJ215" s="3"/>
      <c r="AK215" t="s">
        <v>199</v>
      </c>
    </row>
    <row r="216" spans="1:37" hidden="1" x14ac:dyDescent="0.25">
      <c r="A216" t="s">
        <v>572</v>
      </c>
      <c r="B216" t="s">
        <v>102</v>
      </c>
      <c r="C216" t="s">
        <v>75</v>
      </c>
      <c r="D216" t="s">
        <v>16</v>
      </c>
      <c r="E216" t="s">
        <v>17</v>
      </c>
      <c r="F216" t="s">
        <v>18</v>
      </c>
      <c r="G216" t="s">
        <v>18</v>
      </c>
      <c r="H216" t="s">
        <v>18</v>
      </c>
      <c r="I216" t="s">
        <v>704</v>
      </c>
      <c r="J216">
        <f>3*7</f>
        <v>21</v>
      </c>
      <c r="K216" t="s">
        <v>756</v>
      </c>
      <c r="L216" t="s">
        <v>756</v>
      </c>
      <c r="M216" t="s">
        <v>756</v>
      </c>
      <c r="R216" t="s">
        <v>408</v>
      </c>
      <c r="S216" t="s">
        <v>701</v>
      </c>
      <c r="T216" t="s">
        <v>695</v>
      </c>
      <c r="U216" t="s">
        <v>609</v>
      </c>
      <c r="V216" s="1" t="s">
        <v>774</v>
      </c>
      <c r="W216" s="1">
        <v>1.2E-10</v>
      </c>
      <c r="X216" s="1"/>
      <c r="Y216" s="1"/>
      <c r="Z216" s="1">
        <v>1.6E-11</v>
      </c>
      <c r="AA216" s="1"/>
      <c r="AB216" s="1">
        <v>1.4999999999999999E-8</v>
      </c>
      <c r="AC216" s="1"/>
      <c r="AD216">
        <v>85.2</v>
      </c>
      <c r="AE216">
        <v>792.9</v>
      </c>
      <c r="AF216" s="2">
        <v>3.5999999999999997E-2</v>
      </c>
      <c r="AG216" s="2"/>
      <c r="AH216" s="2">
        <v>0.32800000000000001</v>
      </c>
      <c r="AI216" s="5">
        <f>1.05*AE216/100/10000</f>
        <v>8.3254499999999996E-4</v>
      </c>
      <c r="AJ216" s="3"/>
      <c r="AK216" t="s">
        <v>199</v>
      </c>
    </row>
    <row r="217" spans="1:37" hidden="1" x14ac:dyDescent="0.25">
      <c r="A217" t="s">
        <v>238</v>
      </c>
      <c r="B217" t="s">
        <v>53</v>
      </c>
      <c r="C217" t="s">
        <v>54</v>
      </c>
      <c r="D217" t="s">
        <v>16</v>
      </c>
      <c r="E217" t="s">
        <v>17</v>
      </c>
      <c r="F217" t="s">
        <v>18</v>
      </c>
      <c r="G217" t="s">
        <v>18</v>
      </c>
      <c r="H217" t="s">
        <v>18</v>
      </c>
      <c r="I217" t="s">
        <v>704</v>
      </c>
      <c r="J217">
        <f t="shared" ref="J217:J224" si="30">2+3+5+1*7+2</f>
        <v>19</v>
      </c>
      <c r="K217" t="s">
        <v>642</v>
      </c>
      <c r="L217" t="s">
        <v>36</v>
      </c>
      <c r="M217" t="str">
        <f t="shared" ref="M217:M248" si="31">+IF(L217 = "Control", "Control", "Stress")</f>
        <v>Control</v>
      </c>
      <c r="N217" t="s">
        <v>640</v>
      </c>
      <c r="O217" t="s">
        <v>707</v>
      </c>
      <c r="P217" t="s">
        <v>434</v>
      </c>
      <c r="Q217" t="s">
        <v>707</v>
      </c>
      <c r="R217" t="s">
        <v>408</v>
      </c>
      <c r="S217" t="s">
        <v>701</v>
      </c>
      <c r="T217" t="s">
        <v>695</v>
      </c>
      <c r="U217" t="s">
        <v>609</v>
      </c>
      <c r="V217" s="1" t="s">
        <v>733</v>
      </c>
      <c r="W217" s="1">
        <f t="shared" ref="W217:W224" si="32">+AB217*AD217/10000</f>
        <v>3.1160519461999999E-11</v>
      </c>
      <c r="X217" s="1"/>
      <c r="AA217" s="1"/>
      <c r="AB217" s="1">
        <f>[31]Ding_etal_2015_Fig5!C2</f>
        <v>6.7740259700000005E-9</v>
      </c>
      <c r="AD217">
        <v>46</v>
      </c>
      <c r="AE217">
        <v>341</v>
      </c>
      <c r="AH217" s="2">
        <v>0.41</v>
      </c>
      <c r="AJ217" s="5">
        <v>0.49</v>
      </c>
      <c r="AK217" t="s">
        <v>44</v>
      </c>
    </row>
    <row r="218" spans="1:37" hidden="1" x14ac:dyDescent="0.25">
      <c r="A218" t="s">
        <v>238</v>
      </c>
      <c r="B218" t="s">
        <v>53</v>
      </c>
      <c r="C218" t="s">
        <v>54</v>
      </c>
      <c r="D218" t="s">
        <v>16</v>
      </c>
      <c r="E218" t="s">
        <v>17</v>
      </c>
      <c r="F218" t="s">
        <v>18</v>
      </c>
      <c r="G218" t="s">
        <v>18</v>
      </c>
      <c r="H218" t="s">
        <v>18</v>
      </c>
      <c r="I218" t="s">
        <v>704</v>
      </c>
      <c r="J218">
        <f t="shared" si="30"/>
        <v>19</v>
      </c>
      <c r="K218" t="s">
        <v>642</v>
      </c>
      <c r="L218" t="s">
        <v>36</v>
      </c>
      <c r="M218" t="str">
        <f t="shared" si="31"/>
        <v>Control</v>
      </c>
      <c r="N218" t="s">
        <v>641</v>
      </c>
      <c r="O218" t="s">
        <v>707</v>
      </c>
      <c r="P218" t="s">
        <v>434</v>
      </c>
      <c r="Q218" t="s">
        <v>707</v>
      </c>
      <c r="R218" t="s">
        <v>408</v>
      </c>
      <c r="S218" t="s">
        <v>701</v>
      </c>
      <c r="T218" t="s">
        <v>695</v>
      </c>
      <c r="U218" t="s">
        <v>609</v>
      </c>
      <c r="V218" s="1" t="s">
        <v>733</v>
      </c>
      <c r="W218" s="1">
        <f t="shared" si="32"/>
        <v>3.1937662358000004E-11</v>
      </c>
      <c r="X218" s="1"/>
      <c r="AA218" s="1"/>
      <c r="AB218" s="1">
        <f>[31]Ding_etal_2015_Fig5!C3</f>
        <v>5.5064935100000006E-9</v>
      </c>
      <c r="AD218">
        <v>58</v>
      </c>
      <c r="AE218">
        <v>435</v>
      </c>
      <c r="AH218" s="2">
        <v>0.45</v>
      </c>
      <c r="AJ218" s="5">
        <v>0.63</v>
      </c>
      <c r="AK218" t="s">
        <v>44</v>
      </c>
    </row>
    <row r="219" spans="1:37" hidden="1" x14ac:dyDescent="0.25">
      <c r="A219" t="s">
        <v>238</v>
      </c>
      <c r="B219" t="s">
        <v>53</v>
      </c>
      <c r="C219" t="s">
        <v>54</v>
      </c>
      <c r="D219" t="s">
        <v>16</v>
      </c>
      <c r="E219" t="s">
        <v>17</v>
      </c>
      <c r="F219" t="s">
        <v>18</v>
      </c>
      <c r="G219" t="s">
        <v>18</v>
      </c>
      <c r="H219" t="s">
        <v>18</v>
      </c>
      <c r="I219" t="s">
        <v>704</v>
      </c>
      <c r="J219">
        <f t="shared" si="30"/>
        <v>19</v>
      </c>
      <c r="K219" t="s">
        <v>642</v>
      </c>
      <c r="L219" t="s">
        <v>48</v>
      </c>
      <c r="M219" t="str">
        <f t="shared" si="31"/>
        <v>Stress</v>
      </c>
      <c r="N219" t="s">
        <v>640</v>
      </c>
      <c r="O219" t="s">
        <v>707</v>
      </c>
      <c r="P219" t="s">
        <v>434</v>
      </c>
      <c r="Q219" t="s">
        <v>707</v>
      </c>
      <c r="R219" t="s">
        <v>408</v>
      </c>
      <c r="S219" t="s">
        <v>701</v>
      </c>
      <c r="T219" t="s">
        <v>695</v>
      </c>
      <c r="U219" t="s">
        <v>609</v>
      </c>
      <c r="V219" s="1" t="s">
        <v>733</v>
      </c>
      <c r="W219" s="1">
        <f t="shared" si="32"/>
        <v>1.02545454525E-10</v>
      </c>
      <c r="X219" s="1"/>
      <c r="AA219" s="1"/>
      <c r="AB219" s="1">
        <f>[31]Ding_etal_2015_Fig5!C4</f>
        <v>1.3672727270000001E-8</v>
      </c>
      <c r="AD219">
        <v>75</v>
      </c>
      <c r="AE219">
        <v>652</v>
      </c>
      <c r="AH219" s="2">
        <v>0.37</v>
      </c>
      <c r="AJ219" s="5">
        <v>0.69</v>
      </c>
      <c r="AK219" t="s">
        <v>44</v>
      </c>
    </row>
    <row r="220" spans="1:37" hidden="1" x14ac:dyDescent="0.25">
      <c r="A220" t="s">
        <v>238</v>
      </c>
      <c r="B220" t="s">
        <v>53</v>
      </c>
      <c r="C220" t="s">
        <v>54</v>
      </c>
      <c r="D220" t="s">
        <v>16</v>
      </c>
      <c r="E220" t="s">
        <v>17</v>
      </c>
      <c r="F220" t="s">
        <v>18</v>
      </c>
      <c r="G220" t="s">
        <v>18</v>
      </c>
      <c r="H220" t="s">
        <v>18</v>
      </c>
      <c r="I220" t="s">
        <v>704</v>
      </c>
      <c r="J220">
        <f t="shared" si="30"/>
        <v>19</v>
      </c>
      <c r="K220" t="s">
        <v>642</v>
      </c>
      <c r="L220" t="s">
        <v>48</v>
      </c>
      <c r="M220" t="str">
        <f t="shared" si="31"/>
        <v>Stress</v>
      </c>
      <c r="N220" t="s">
        <v>641</v>
      </c>
      <c r="O220" t="s">
        <v>707</v>
      </c>
      <c r="P220" t="s">
        <v>434</v>
      </c>
      <c r="Q220" t="s">
        <v>707</v>
      </c>
      <c r="R220" t="s">
        <v>408</v>
      </c>
      <c r="S220" t="s">
        <v>701</v>
      </c>
      <c r="T220" t="s">
        <v>695</v>
      </c>
      <c r="U220" t="s">
        <v>609</v>
      </c>
      <c r="V220" s="1" t="s">
        <v>733</v>
      </c>
      <c r="W220" s="1">
        <f t="shared" si="32"/>
        <v>2.7511688320000002E-11</v>
      </c>
      <c r="X220" s="1"/>
      <c r="AA220" s="1"/>
      <c r="AB220" s="1">
        <f>[31]Ding_etal_2015_Fig5!C5</f>
        <v>6.8779220799999999E-9</v>
      </c>
      <c r="AD220">
        <v>40</v>
      </c>
      <c r="AE220">
        <v>280</v>
      </c>
      <c r="AH220" s="2">
        <v>0.46</v>
      </c>
      <c r="AJ220" s="5">
        <v>0.46</v>
      </c>
      <c r="AK220" t="s">
        <v>44</v>
      </c>
    </row>
    <row r="221" spans="1:37" hidden="1" x14ac:dyDescent="0.25">
      <c r="A221" t="s">
        <v>238</v>
      </c>
      <c r="B221" t="s">
        <v>53</v>
      </c>
      <c r="C221" t="s">
        <v>54</v>
      </c>
      <c r="D221" t="s">
        <v>16</v>
      </c>
      <c r="E221" t="s">
        <v>17</v>
      </c>
      <c r="F221" t="s">
        <v>18</v>
      </c>
      <c r="G221" t="s">
        <v>18</v>
      </c>
      <c r="H221" t="s">
        <v>18</v>
      </c>
      <c r="I221" t="s">
        <v>704</v>
      </c>
      <c r="J221">
        <f t="shared" si="30"/>
        <v>19</v>
      </c>
      <c r="K221" t="s">
        <v>642</v>
      </c>
      <c r="L221" t="s">
        <v>36</v>
      </c>
      <c r="M221" t="str">
        <f t="shared" si="31"/>
        <v>Control</v>
      </c>
      <c r="N221" t="s">
        <v>640</v>
      </c>
      <c r="O221" t="s">
        <v>707</v>
      </c>
      <c r="P221" t="s">
        <v>435</v>
      </c>
      <c r="Q221" t="s">
        <v>707</v>
      </c>
      <c r="R221" t="s">
        <v>408</v>
      </c>
      <c r="S221" t="s">
        <v>701</v>
      </c>
      <c r="T221" t="s">
        <v>695</v>
      </c>
      <c r="U221" t="s">
        <v>609</v>
      </c>
      <c r="V221" s="1" t="s">
        <v>733</v>
      </c>
      <c r="W221" s="1">
        <f t="shared" si="32"/>
        <v>8.4435724269000009E-11</v>
      </c>
      <c r="X221" s="1"/>
      <c r="AA221" s="1"/>
      <c r="AB221" s="1">
        <f>[31]Ding_etal_2015_Fig5!C6</f>
        <v>1.5931268730000001E-8</v>
      </c>
      <c r="AD221">
        <v>53</v>
      </c>
      <c r="AE221">
        <v>445</v>
      </c>
      <c r="AH221" s="2">
        <v>0.34</v>
      </c>
      <c r="AJ221" s="5">
        <v>0.53</v>
      </c>
      <c r="AK221" t="s">
        <v>44</v>
      </c>
    </row>
    <row r="222" spans="1:37" hidden="1" x14ac:dyDescent="0.25">
      <c r="A222" t="s">
        <v>238</v>
      </c>
      <c r="B222" t="s">
        <v>53</v>
      </c>
      <c r="C222" t="s">
        <v>54</v>
      </c>
      <c r="D222" t="s">
        <v>16</v>
      </c>
      <c r="E222" t="s">
        <v>17</v>
      </c>
      <c r="F222" t="s">
        <v>18</v>
      </c>
      <c r="G222" t="s">
        <v>18</v>
      </c>
      <c r="H222" t="s">
        <v>18</v>
      </c>
      <c r="I222" t="s">
        <v>704</v>
      </c>
      <c r="J222">
        <f t="shared" si="30"/>
        <v>19</v>
      </c>
      <c r="K222" t="s">
        <v>642</v>
      </c>
      <c r="L222" t="s">
        <v>36</v>
      </c>
      <c r="M222" t="str">
        <f t="shared" si="31"/>
        <v>Control</v>
      </c>
      <c r="N222" t="s">
        <v>641</v>
      </c>
      <c r="O222" t="s">
        <v>707</v>
      </c>
      <c r="P222" t="s">
        <v>435</v>
      </c>
      <c r="Q222" t="s">
        <v>707</v>
      </c>
      <c r="R222" t="s">
        <v>408</v>
      </c>
      <c r="S222" t="s">
        <v>701</v>
      </c>
      <c r="T222" t="s">
        <v>695</v>
      </c>
      <c r="U222" t="s">
        <v>609</v>
      </c>
      <c r="V222" s="1" t="s">
        <v>733</v>
      </c>
      <c r="W222" s="1">
        <f t="shared" si="32"/>
        <v>7.8285714264999991E-11</v>
      </c>
      <c r="X222" s="1"/>
      <c r="AA222" s="1"/>
      <c r="AB222" s="1">
        <f>[31]Ding_etal_2015_Fig5!C7</f>
        <v>1.423376623E-8</v>
      </c>
      <c r="AD222">
        <v>55</v>
      </c>
      <c r="AE222">
        <v>443</v>
      </c>
      <c r="AH222" s="2">
        <v>0.4</v>
      </c>
      <c r="AJ222" s="5">
        <v>0.53</v>
      </c>
      <c r="AK222" t="s">
        <v>44</v>
      </c>
    </row>
    <row r="223" spans="1:37" hidden="1" x14ac:dyDescent="0.25">
      <c r="A223" t="s">
        <v>238</v>
      </c>
      <c r="B223" t="s">
        <v>53</v>
      </c>
      <c r="C223" t="s">
        <v>54</v>
      </c>
      <c r="D223" t="s">
        <v>16</v>
      </c>
      <c r="E223" t="s">
        <v>17</v>
      </c>
      <c r="F223" t="s">
        <v>18</v>
      </c>
      <c r="G223" t="s">
        <v>18</v>
      </c>
      <c r="H223" t="s">
        <v>18</v>
      </c>
      <c r="I223" t="s">
        <v>704</v>
      </c>
      <c r="J223">
        <f t="shared" si="30"/>
        <v>19</v>
      </c>
      <c r="K223" t="s">
        <v>642</v>
      </c>
      <c r="L223" t="s">
        <v>48</v>
      </c>
      <c r="M223" t="str">
        <f t="shared" si="31"/>
        <v>Stress</v>
      </c>
      <c r="N223" t="s">
        <v>640</v>
      </c>
      <c r="O223" t="s">
        <v>707</v>
      </c>
      <c r="P223" t="s">
        <v>435</v>
      </c>
      <c r="Q223" t="s">
        <v>707</v>
      </c>
      <c r="R223" t="s">
        <v>408</v>
      </c>
      <c r="S223" t="s">
        <v>701</v>
      </c>
      <c r="T223" t="s">
        <v>695</v>
      </c>
      <c r="U223" t="s">
        <v>609</v>
      </c>
      <c r="V223" s="1" t="s">
        <v>733</v>
      </c>
      <c r="W223" s="1">
        <f t="shared" si="32"/>
        <v>2.2214805199E-10</v>
      </c>
      <c r="X223" s="1"/>
      <c r="AA223" s="1"/>
      <c r="AB223" s="1">
        <f>[31]Ding_etal_2015_Fig5!C8</f>
        <v>2.6135064940000001E-8</v>
      </c>
      <c r="AD223">
        <v>85</v>
      </c>
      <c r="AE223">
        <v>873</v>
      </c>
      <c r="AH223" s="2">
        <v>0.35</v>
      </c>
      <c r="AJ223" s="5">
        <v>0.79</v>
      </c>
      <c r="AK223" t="s">
        <v>44</v>
      </c>
    </row>
    <row r="224" spans="1:37" hidden="1" x14ac:dyDescent="0.25">
      <c r="A224" t="s">
        <v>238</v>
      </c>
      <c r="B224" t="s">
        <v>53</v>
      </c>
      <c r="C224" t="s">
        <v>54</v>
      </c>
      <c r="D224" t="s">
        <v>16</v>
      </c>
      <c r="E224" t="s">
        <v>17</v>
      </c>
      <c r="F224" t="s">
        <v>18</v>
      </c>
      <c r="G224" t="s">
        <v>18</v>
      </c>
      <c r="H224" t="s">
        <v>18</v>
      </c>
      <c r="I224" t="s">
        <v>704</v>
      </c>
      <c r="J224">
        <f t="shared" si="30"/>
        <v>19</v>
      </c>
      <c r="K224" t="s">
        <v>642</v>
      </c>
      <c r="L224" t="s">
        <v>48</v>
      </c>
      <c r="M224" t="str">
        <f t="shared" si="31"/>
        <v>Stress</v>
      </c>
      <c r="N224" t="s">
        <v>641</v>
      </c>
      <c r="O224" t="s">
        <v>707</v>
      </c>
      <c r="P224" t="s">
        <v>435</v>
      </c>
      <c r="Q224" t="s">
        <v>707</v>
      </c>
      <c r="R224" t="s">
        <v>408</v>
      </c>
      <c r="S224" t="s">
        <v>701</v>
      </c>
      <c r="T224" t="s">
        <v>695</v>
      </c>
      <c r="U224" t="s">
        <v>609</v>
      </c>
      <c r="V224" s="1" t="s">
        <v>733</v>
      </c>
      <c r="W224" s="1">
        <f t="shared" si="32"/>
        <v>3.9445194802000002E-11</v>
      </c>
      <c r="X224" s="1"/>
      <c r="AA224" s="1"/>
      <c r="AB224" s="1">
        <f>[31]Ding_etal_2015_Fig5!C9</f>
        <v>9.6207792199999994E-9</v>
      </c>
      <c r="AD224">
        <v>41</v>
      </c>
      <c r="AE224">
        <v>322</v>
      </c>
      <c r="AH224" s="2">
        <v>0.41</v>
      </c>
      <c r="AJ224" s="5">
        <v>0.42</v>
      </c>
      <c r="AK224" t="s">
        <v>44</v>
      </c>
    </row>
    <row r="225" spans="1:37" hidden="1" x14ac:dyDescent="0.25">
      <c r="A225" t="s">
        <v>57</v>
      </c>
      <c r="B225" t="s">
        <v>41</v>
      </c>
      <c r="C225" t="s">
        <v>42</v>
      </c>
      <c r="D225" t="s">
        <v>43</v>
      </c>
      <c r="E225" t="s">
        <v>17</v>
      </c>
      <c r="F225" t="s">
        <v>613</v>
      </c>
      <c r="G225" t="s">
        <v>613</v>
      </c>
      <c r="H225" t="s">
        <v>613</v>
      </c>
      <c r="I225" t="s">
        <v>804</v>
      </c>
      <c r="J225">
        <v>365</v>
      </c>
      <c r="K225" t="s">
        <v>714</v>
      </c>
      <c r="L225" t="s">
        <v>48</v>
      </c>
      <c r="M225" t="str">
        <f t="shared" si="31"/>
        <v>Stress</v>
      </c>
      <c r="N225" t="s">
        <v>432</v>
      </c>
      <c r="O225" t="s">
        <v>707</v>
      </c>
      <c r="R225" t="s">
        <v>408</v>
      </c>
      <c r="S225" t="s">
        <v>701</v>
      </c>
      <c r="T225" t="s">
        <v>695</v>
      </c>
      <c r="U225" t="s">
        <v>609</v>
      </c>
      <c r="V225" s="1" t="s">
        <v>733</v>
      </c>
      <c r="W225" s="1">
        <f t="shared" ref="W225:W232" si="33">+X225*AG225</f>
        <v>7.9801980198019815E-10</v>
      </c>
      <c r="X225" s="1">
        <f>'[32]Barrios-Masias_etal_2015_Fig5'!B2</f>
        <v>3.0693069306930698E-10</v>
      </c>
      <c r="Y225" s="1"/>
      <c r="Z225" s="1"/>
      <c r="AA225" s="1"/>
      <c r="AC225" s="1"/>
      <c r="AF225" s="2"/>
      <c r="AG225" s="2">
        <v>2.6</v>
      </c>
      <c r="AK225" t="s">
        <v>199</v>
      </c>
    </row>
    <row r="226" spans="1:37" hidden="1" x14ac:dyDescent="0.25">
      <c r="A226" t="s">
        <v>57</v>
      </c>
      <c r="B226" t="s">
        <v>41</v>
      </c>
      <c r="C226" t="s">
        <v>42</v>
      </c>
      <c r="D226" t="s">
        <v>43</v>
      </c>
      <c r="E226" t="s">
        <v>17</v>
      </c>
      <c r="F226" t="s">
        <v>613</v>
      </c>
      <c r="G226" t="s">
        <v>613</v>
      </c>
      <c r="H226" t="s">
        <v>613</v>
      </c>
      <c r="I226" t="s">
        <v>804</v>
      </c>
      <c r="J226">
        <v>365</v>
      </c>
      <c r="K226" t="s">
        <v>714</v>
      </c>
      <c r="L226" t="s">
        <v>36</v>
      </c>
      <c r="M226" t="str">
        <f t="shared" si="31"/>
        <v>Control</v>
      </c>
      <c r="N226" t="s">
        <v>432</v>
      </c>
      <c r="O226" t="s">
        <v>707</v>
      </c>
      <c r="R226" t="s">
        <v>408</v>
      </c>
      <c r="S226" t="s">
        <v>701</v>
      </c>
      <c r="T226" t="s">
        <v>695</v>
      </c>
      <c r="U226" t="s">
        <v>609</v>
      </c>
      <c r="V226" s="1" t="s">
        <v>733</v>
      </c>
      <c r="W226" s="1">
        <f t="shared" si="33"/>
        <v>1.355021216407354E-9</v>
      </c>
      <c r="X226" s="1">
        <f>'[32]Barrios-Masias_etal_2015_Fig5'!B3</f>
        <v>6.77510608203677E-10</v>
      </c>
      <c r="Y226" s="1"/>
      <c r="Z226" s="1"/>
      <c r="AA226" s="1"/>
      <c r="AC226" s="1"/>
      <c r="AF226" s="2"/>
      <c r="AG226" s="2">
        <v>2</v>
      </c>
      <c r="AK226" t="s">
        <v>199</v>
      </c>
    </row>
    <row r="227" spans="1:37" hidden="1" x14ac:dyDescent="0.25">
      <c r="A227" t="s">
        <v>57</v>
      </c>
      <c r="B227" t="s">
        <v>41</v>
      </c>
      <c r="C227" t="s">
        <v>42</v>
      </c>
      <c r="D227" t="s">
        <v>43</v>
      </c>
      <c r="E227" t="s">
        <v>17</v>
      </c>
      <c r="F227" t="s">
        <v>613</v>
      </c>
      <c r="G227" t="s">
        <v>613</v>
      </c>
      <c r="H227" t="s">
        <v>613</v>
      </c>
      <c r="I227" t="s">
        <v>804</v>
      </c>
      <c r="J227">
        <v>365</v>
      </c>
      <c r="K227" t="s">
        <v>714</v>
      </c>
      <c r="L227" t="s">
        <v>48</v>
      </c>
      <c r="M227" t="str">
        <f t="shared" si="31"/>
        <v>Stress</v>
      </c>
      <c r="N227" t="s">
        <v>433</v>
      </c>
      <c r="O227" t="s">
        <v>707</v>
      </c>
      <c r="R227" t="s">
        <v>408</v>
      </c>
      <c r="S227" t="s">
        <v>701</v>
      </c>
      <c r="T227" t="s">
        <v>695</v>
      </c>
      <c r="U227" t="s">
        <v>609</v>
      </c>
      <c r="V227" s="1" t="s">
        <v>733</v>
      </c>
      <c r="W227" s="1">
        <f t="shared" si="33"/>
        <v>1.216407355021215E-9</v>
      </c>
      <c r="X227" s="1">
        <f>'[32]Barrios-Masias_etal_2015_Fig5'!B4</f>
        <v>4.8656294200848602E-10</v>
      </c>
      <c r="Y227" s="1"/>
      <c r="Z227" s="1"/>
      <c r="AA227" s="1"/>
      <c r="AC227" s="1"/>
      <c r="AF227" s="2"/>
      <c r="AG227" s="2">
        <v>2.5</v>
      </c>
      <c r="AK227" t="s">
        <v>199</v>
      </c>
    </row>
    <row r="228" spans="1:37" hidden="1" x14ac:dyDescent="0.25">
      <c r="A228" t="s">
        <v>57</v>
      </c>
      <c r="B228" t="s">
        <v>41</v>
      </c>
      <c r="C228" t="s">
        <v>42</v>
      </c>
      <c r="D228" t="s">
        <v>43</v>
      </c>
      <c r="E228" t="s">
        <v>17</v>
      </c>
      <c r="F228" t="s">
        <v>613</v>
      </c>
      <c r="G228" t="s">
        <v>613</v>
      </c>
      <c r="H228" t="s">
        <v>613</v>
      </c>
      <c r="I228" t="s">
        <v>804</v>
      </c>
      <c r="J228">
        <v>365</v>
      </c>
      <c r="K228" t="s">
        <v>714</v>
      </c>
      <c r="L228" t="s">
        <v>36</v>
      </c>
      <c r="M228" t="str">
        <f t="shared" si="31"/>
        <v>Control</v>
      </c>
      <c r="N228" t="s">
        <v>433</v>
      </c>
      <c r="O228" t="s">
        <v>707</v>
      </c>
      <c r="R228" t="s">
        <v>408</v>
      </c>
      <c r="S228" t="s">
        <v>701</v>
      </c>
      <c r="T228" t="s">
        <v>695</v>
      </c>
      <c r="U228" t="s">
        <v>609</v>
      </c>
      <c r="V228" s="1" t="s">
        <v>733</v>
      </c>
      <c r="W228" s="1">
        <f t="shared" si="33"/>
        <v>1.4377652050919363E-9</v>
      </c>
      <c r="X228" s="1">
        <f>'[32]Barrios-Masias_etal_2015_Fig5'!B5</f>
        <v>7.5671852899575602E-10</v>
      </c>
      <c r="Y228" s="1"/>
      <c r="Z228" s="1"/>
      <c r="AA228" s="1"/>
      <c r="AC228" s="1"/>
      <c r="AF228" s="2"/>
      <c r="AG228" s="2">
        <v>1.9</v>
      </c>
      <c r="AK228" t="s">
        <v>199</v>
      </c>
    </row>
    <row r="229" spans="1:37" hidden="1" x14ac:dyDescent="0.25">
      <c r="A229" t="s">
        <v>57</v>
      </c>
      <c r="B229" t="s">
        <v>41</v>
      </c>
      <c r="C229" t="s">
        <v>42</v>
      </c>
      <c r="D229" t="s">
        <v>43</v>
      </c>
      <c r="E229" t="s">
        <v>17</v>
      </c>
      <c r="F229" t="s">
        <v>613</v>
      </c>
      <c r="G229" t="s">
        <v>613</v>
      </c>
      <c r="H229" t="s">
        <v>613</v>
      </c>
      <c r="I229" t="s">
        <v>804</v>
      </c>
      <c r="J229">
        <v>365</v>
      </c>
      <c r="K229" t="s">
        <v>714</v>
      </c>
      <c r="L229" t="s">
        <v>48</v>
      </c>
      <c r="M229" t="str">
        <f t="shared" si="31"/>
        <v>Stress</v>
      </c>
      <c r="N229" t="s">
        <v>432</v>
      </c>
      <c r="O229" t="s">
        <v>707</v>
      </c>
      <c r="R229" t="s">
        <v>408</v>
      </c>
      <c r="S229" t="s">
        <v>701</v>
      </c>
      <c r="T229" t="s">
        <v>695</v>
      </c>
      <c r="U229" t="s">
        <v>610</v>
      </c>
      <c r="V229" s="1" t="s">
        <v>733</v>
      </c>
      <c r="W229" s="1">
        <f t="shared" si="33"/>
        <v>4.3832853025936521E-10</v>
      </c>
      <c r="X229" s="1">
        <f>'[33]Barrios-Masias_etal_2015_Fig4c'!B2</f>
        <v>1.68587896253602E-10</v>
      </c>
      <c r="Y229" s="1"/>
      <c r="Z229" s="1"/>
      <c r="AA229" s="1"/>
      <c r="AC229" s="1"/>
      <c r="AF229" s="2"/>
      <c r="AG229" s="2">
        <v>2.6</v>
      </c>
      <c r="AK229" t="s">
        <v>348</v>
      </c>
    </row>
    <row r="230" spans="1:37" hidden="1" x14ac:dyDescent="0.25">
      <c r="A230" t="s">
        <v>57</v>
      </c>
      <c r="B230" t="s">
        <v>41</v>
      </c>
      <c r="C230" t="s">
        <v>42</v>
      </c>
      <c r="D230" t="s">
        <v>43</v>
      </c>
      <c r="E230" t="s">
        <v>17</v>
      </c>
      <c r="F230" t="s">
        <v>613</v>
      </c>
      <c r="G230" t="s">
        <v>613</v>
      </c>
      <c r="H230" t="s">
        <v>613</v>
      </c>
      <c r="I230" t="s">
        <v>804</v>
      </c>
      <c r="J230">
        <v>365</v>
      </c>
      <c r="K230" t="s">
        <v>714</v>
      </c>
      <c r="L230" t="s">
        <v>36</v>
      </c>
      <c r="M230" t="str">
        <f t="shared" si="31"/>
        <v>Control</v>
      </c>
      <c r="N230" t="s">
        <v>432</v>
      </c>
      <c r="O230" t="s">
        <v>707</v>
      </c>
      <c r="R230" t="s">
        <v>408</v>
      </c>
      <c r="S230" t="s">
        <v>701</v>
      </c>
      <c r="T230" t="s">
        <v>695</v>
      </c>
      <c r="U230" t="s">
        <v>610</v>
      </c>
      <c r="V230" s="1" t="s">
        <v>733</v>
      </c>
      <c r="W230" s="1">
        <f t="shared" si="33"/>
        <v>6.80115273775214E-10</v>
      </c>
      <c r="X230" s="1">
        <f>'[33]Barrios-Masias_etal_2015_Fig4c'!B3</f>
        <v>3.40057636887607E-10</v>
      </c>
      <c r="Y230" s="1"/>
      <c r="Z230" s="1"/>
      <c r="AA230" s="1"/>
      <c r="AC230" s="1"/>
      <c r="AF230" s="2"/>
      <c r="AG230" s="2">
        <v>2</v>
      </c>
      <c r="AK230" t="s">
        <v>348</v>
      </c>
    </row>
    <row r="231" spans="1:37" hidden="1" x14ac:dyDescent="0.25">
      <c r="A231" t="s">
        <v>57</v>
      </c>
      <c r="B231" t="s">
        <v>41</v>
      </c>
      <c r="C231" t="s">
        <v>42</v>
      </c>
      <c r="D231" t="s">
        <v>43</v>
      </c>
      <c r="E231" t="s">
        <v>17</v>
      </c>
      <c r="F231" t="s">
        <v>613</v>
      </c>
      <c r="G231" t="s">
        <v>613</v>
      </c>
      <c r="H231" t="s">
        <v>613</v>
      </c>
      <c r="I231" t="s">
        <v>804</v>
      </c>
      <c r="J231">
        <v>365</v>
      </c>
      <c r="K231" t="s">
        <v>714</v>
      </c>
      <c r="L231" t="s">
        <v>48</v>
      </c>
      <c r="M231" t="str">
        <f t="shared" si="31"/>
        <v>Stress</v>
      </c>
      <c r="N231" t="s">
        <v>433</v>
      </c>
      <c r="O231" t="s">
        <v>707</v>
      </c>
      <c r="R231" t="s">
        <v>408</v>
      </c>
      <c r="S231" t="s">
        <v>701</v>
      </c>
      <c r="T231" t="s">
        <v>695</v>
      </c>
      <c r="U231" t="s">
        <v>610</v>
      </c>
      <c r="V231" s="1" t="s">
        <v>733</v>
      </c>
      <c r="W231" s="1">
        <f t="shared" si="33"/>
        <v>8.4293948126801251E-10</v>
      </c>
      <c r="X231" s="1">
        <f>'[33]Barrios-Masias_etal_2015_Fig4c'!B4</f>
        <v>3.3717579250720499E-10</v>
      </c>
      <c r="Y231" s="1"/>
      <c r="Z231" s="1"/>
      <c r="AA231" s="1"/>
      <c r="AC231" s="1"/>
      <c r="AF231" s="2"/>
      <c r="AG231" s="2">
        <v>2.5</v>
      </c>
      <c r="AK231" t="s">
        <v>348</v>
      </c>
    </row>
    <row r="232" spans="1:37" hidden="1" x14ac:dyDescent="0.25">
      <c r="A232" t="s">
        <v>57</v>
      </c>
      <c r="B232" t="s">
        <v>41</v>
      </c>
      <c r="C232" t="s">
        <v>42</v>
      </c>
      <c r="D232" t="s">
        <v>43</v>
      </c>
      <c r="E232" t="s">
        <v>17</v>
      </c>
      <c r="F232" t="s">
        <v>613</v>
      </c>
      <c r="G232" t="s">
        <v>613</v>
      </c>
      <c r="H232" t="s">
        <v>613</v>
      </c>
      <c r="I232" t="s">
        <v>804</v>
      </c>
      <c r="J232">
        <v>365</v>
      </c>
      <c r="K232" t="s">
        <v>714</v>
      </c>
      <c r="L232" t="s">
        <v>36</v>
      </c>
      <c r="M232" t="str">
        <f t="shared" si="31"/>
        <v>Control</v>
      </c>
      <c r="N232" t="s">
        <v>433</v>
      </c>
      <c r="O232" t="s">
        <v>707</v>
      </c>
      <c r="R232" t="s">
        <v>408</v>
      </c>
      <c r="S232" t="s">
        <v>701</v>
      </c>
      <c r="T232" t="s">
        <v>695</v>
      </c>
      <c r="U232" t="s">
        <v>610</v>
      </c>
      <c r="V232" s="1" t="s">
        <v>733</v>
      </c>
      <c r="W232" s="1">
        <f t="shared" si="33"/>
        <v>7.2550432276657012E-10</v>
      </c>
      <c r="X232" s="1">
        <f>'[33]Barrios-Masias_etal_2015_Fig4c'!B5</f>
        <v>3.8184438040345798E-10</v>
      </c>
      <c r="Y232" s="1"/>
      <c r="Z232" s="1"/>
      <c r="AA232" s="1"/>
      <c r="AC232" s="1"/>
      <c r="AF232" s="2"/>
      <c r="AG232" s="2">
        <v>1.9</v>
      </c>
      <c r="AK232" t="s">
        <v>348</v>
      </c>
    </row>
    <row r="233" spans="1:37" hidden="1" x14ac:dyDescent="0.25">
      <c r="A233" t="s">
        <v>239</v>
      </c>
      <c r="B233" t="s">
        <v>41</v>
      </c>
      <c r="C233" t="s">
        <v>42</v>
      </c>
      <c r="D233" t="s">
        <v>43</v>
      </c>
      <c r="E233" t="s">
        <v>17</v>
      </c>
      <c r="F233" t="s">
        <v>613</v>
      </c>
      <c r="G233" t="s">
        <v>613</v>
      </c>
      <c r="H233" t="s">
        <v>613</v>
      </c>
      <c r="I233" t="s">
        <v>804</v>
      </c>
      <c r="J233">
        <f>1*365+4*30</f>
        <v>485</v>
      </c>
      <c r="K233" t="s">
        <v>438</v>
      </c>
      <c r="L233" t="s">
        <v>36</v>
      </c>
      <c r="M233" t="str">
        <f t="shared" si="31"/>
        <v>Control</v>
      </c>
      <c r="R233" t="s">
        <v>408</v>
      </c>
      <c r="S233" t="s">
        <v>701</v>
      </c>
      <c r="T233" t="s">
        <v>695</v>
      </c>
      <c r="U233" t="s">
        <v>609</v>
      </c>
      <c r="V233" s="1"/>
      <c r="W233" s="1"/>
      <c r="X233" s="1"/>
      <c r="Y233">
        <f>0.49*0.000000001</f>
        <v>4.9000000000000007E-10</v>
      </c>
      <c r="AK233" t="s">
        <v>44</v>
      </c>
    </row>
    <row r="234" spans="1:37" hidden="1" x14ac:dyDescent="0.25">
      <c r="A234" t="s">
        <v>239</v>
      </c>
      <c r="B234" t="s">
        <v>98</v>
      </c>
      <c r="C234" t="s">
        <v>99</v>
      </c>
      <c r="D234" t="s">
        <v>89</v>
      </c>
      <c r="E234" t="s">
        <v>17</v>
      </c>
      <c r="F234" t="s">
        <v>618</v>
      </c>
      <c r="G234" t="s">
        <v>618</v>
      </c>
      <c r="H234" t="s">
        <v>801</v>
      </c>
      <c r="I234" t="s">
        <v>804</v>
      </c>
      <c r="J234">
        <f>8*7</f>
        <v>56</v>
      </c>
      <c r="K234" t="s">
        <v>438</v>
      </c>
      <c r="L234" t="s">
        <v>36</v>
      </c>
      <c r="M234" t="str">
        <f t="shared" si="31"/>
        <v>Control</v>
      </c>
      <c r="R234" t="s">
        <v>408</v>
      </c>
      <c r="S234" t="s">
        <v>701</v>
      </c>
      <c r="T234" t="s">
        <v>695</v>
      </c>
      <c r="U234" t="s">
        <v>609</v>
      </c>
      <c r="V234" s="1"/>
      <c r="W234" s="1"/>
      <c r="X234" s="1"/>
      <c r="Y234">
        <f>4.32*0.000000001</f>
        <v>4.3200000000000008E-9</v>
      </c>
      <c r="AK234" t="s">
        <v>44</v>
      </c>
    </row>
    <row r="235" spans="1:37" hidden="1" x14ac:dyDescent="0.25">
      <c r="A235" t="s">
        <v>239</v>
      </c>
      <c r="B235" t="s">
        <v>50</v>
      </c>
      <c r="C235" t="s">
        <v>51</v>
      </c>
      <c r="D235" t="s">
        <v>16</v>
      </c>
      <c r="E235" t="s">
        <v>29</v>
      </c>
      <c r="F235" t="s">
        <v>30</v>
      </c>
      <c r="G235" t="s">
        <v>30</v>
      </c>
      <c r="H235" t="s">
        <v>30</v>
      </c>
      <c r="I235" t="s">
        <v>704</v>
      </c>
      <c r="J235">
        <f>8*7</f>
        <v>56</v>
      </c>
      <c r="K235" t="s">
        <v>438</v>
      </c>
      <c r="L235" t="s">
        <v>36</v>
      </c>
      <c r="M235" t="str">
        <f t="shared" si="31"/>
        <v>Control</v>
      </c>
      <c r="R235" t="s">
        <v>408</v>
      </c>
      <c r="S235" t="s">
        <v>701</v>
      </c>
      <c r="T235" t="s">
        <v>695</v>
      </c>
      <c r="U235" t="s">
        <v>609</v>
      </c>
      <c r="V235" s="1"/>
      <c r="W235" s="1"/>
      <c r="X235" s="1"/>
      <c r="Y235">
        <f>2.35*0.000000001</f>
        <v>2.3500000000000004E-9</v>
      </c>
      <c r="AK235" t="s">
        <v>44</v>
      </c>
    </row>
    <row r="236" spans="1:37" hidden="1" x14ac:dyDescent="0.25">
      <c r="A236" t="s">
        <v>239</v>
      </c>
      <c r="B236" t="s">
        <v>41</v>
      </c>
      <c r="C236" t="s">
        <v>42</v>
      </c>
      <c r="D236" t="s">
        <v>43</v>
      </c>
      <c r="E236" t="s">
        <v>17</v>
      </c>
      <c r="F236" t="s">
        <v>613</v>
      </c>
      <c r="G236" t="s">
        <v>613</v>
      </c>
      <c r="H236" t="s">
        <v>613</v>
      </c>
      <c r="I236" t="s">
        <v>804</v>
      </c>
      <c r="J236">
        <f>1*365+4*30</f>
        <v>485</v>
      </c>
      <c r="K236" t="s">
        <v>438</v>
      </c>
      <c r="L236" t="s">
        <v>240</v>
      </c>
      <c r="M236" t="str">
        <f t="shared" si="31"/>
        <v>Stress</v>
      </c>
      <c r="R236" t="s">
        <v>408</v>
      </c>
      <c r="S236" t="s">
        <v>701</v>
      </c>
      <c r="T236" t="s">
        <v>695</v>
      </c>
      <c r="U236" t="s">
        <v>609</v>
      </c>
      <c r="V236" s="1"/>
      <c r="W236" s="1"/>
      <c r="X236" s="1"/>
      <c r="Y236">
        <f>0.24*0.000000001</f>
        <v>2.4E-10</v>
      </c>
      <c r="AK236" t="s">
        <v>44</v>
      </c>
    </row>
    <row r="237" spans="1:37" hidden="1" x14ac:dyDescent="0.25">
      <c r="A237" t="s">
        <v>239</v>
      </c>
      <c r="B237" t="s">
        <v>98</v>
      </c>
      <c r="C237" t="s">
        <v>99</v>
      </c>
      <c r="D237" t="s">
        <v>89</v>
      </c>
      <c r="E237" t="s">
        <v>17</v>
      </c>
      <c r="F237" t="s">
        <v>618</v>
      </c>
      <c r="G237" t="s">
        <v>618</v>
      </c>
      <c r="H237" t="s">
        <v>801</v>
      </c>
      <c r="I237" t="s">
        <v>804</v>
      </c>
      <c r="J237">
        <f>8*7</f>
        <v>56</v>
      </c>
      <c r="K237" t="s">
        <v>438</v>
      </c>
      <c r="L237" t="s">
        <v>240</v>
      </c>
      <c r="M237" t="str">
        <f t="shared" si="31"/>
        <v>Stress</v>
      </c>
      <c r="R237" t="s">
        <v>408</v>
      </c>
      <c r="S237" t="s">
        <v>701</v>
      </c>
      <c r="T237" t="s">
        <v>695</v>
      </c>
      <c r="U237" t="s">
        <v>609</v>
      </c>
      <c r="V237" s="1"/>
      <c r="W237" s="1"/>
      <c r="X237" s="1"/>
      <c r="Y237">
        <f>2.02*0.000000001</f>
        <v>2.0200000000000001E-9</v>
      </c>
      <c r="AK237" t="s">
        <v>44</v>
      </c>
    </row>
    <row r="238" spans="1:37" hidden="1" x14ac:dyDescent="0.25">
      <c r="A238" t="s">
        <v>239</v>
      </c>
      <c r="B238" t="s">
        <v>50</v>
      </c>
      <c r="C238" t="s">
        <v>51</v>
      </c>
      <c r="D238" t="s">
        <v>16</v>
      </c>
      <c r="E238" t="s">
        <v>29</v>
      </c>
      <c r="F238" t="s">
        <v>30</v>
      </c>
      <c r="G238" t="s">
        <v>30</v>
      </c>
      <c r="H238" t="s">
        <v>30</v>
      </c>
      <c r="I238" t="s">
        <v>704</v>
      </c>
      <c r="J238">
        <f>8*7</f>
        <v>56</v>
      </c>
      <c r="K238" t="s">
        <v>438</v>
      </c>
      <c r="L238" t="s">
        <v>240</v>
      </c>
      <c r="M238" t="str">
        <f t="shared" si="31"/>
        <v>Stress</v>
      </c>
      <c r="R238" t="s">
        <v>408</v>
      </c>
      <c r="S238" t="s">
        <v>701</v>
      </c>
      <c r="T238" t="s">
        <v>695</v>
      </c>
      <c r="U238" t="s">
        <v>609</v>
      </c>
      <c r="V238" s="1"/>
      <c r="W238" s="1"/>
      <c r="X238" s="1"/>
      <c r="Y238">
        <f>0.99*0.000000001</f>
        <v>9.900000000000001E-10</v>
      </c>
      <c r="AK238" t="s">
        <v>44</v>
      </c>
    </row>
    <row r="239" spans="1:37" hidden="1" x14ac:dyDescent="0.25">
      <c r="A239" t="s">
        <v>546</v>
      </c>
      <c r="B239" t="s">
        <v>125</v>
      </c>
      <c r="C239" t="s">
        <v>67</v>
      </c>
      <c r="D239" t="s">
        <v>68</v>
      </c>
      <c r="E239" t="s">
        <v>17</v>
      </c>
      <c r="F239" t="s">
        <v>126</v>
      </c>
      <c r="G239" t="s">
        <v>616</v>
      </c>
      <c r="H239" t="s">
        <v>760</v>
      </c>
      <c r="I239" t="s">
        <v>705</v>
      </c>
      <c r="J239">
        <f>5*30+1</f>
        <v>151</v>
      </c>
      <c r="K239" t="s">
        <v>241</v>
      </c>
      <c r="L239" t="s">
        <v>36</v>
      </c>
      <c r="M239" t="str">
        <f t="shared" si="31"/>
        <v>Control</v>
      </c>
      <c r="R239" t="s">
        <v>408</v>
      </c>
      <c r="S239" t="s">
        <v>701</v>
      </c>
      <c r="T239" t="s">
        <v>695</v>
      </c>
      <c r="U239" t="s">
        <v>609</v>
      </c>
      <c r="V239" s="1"/>
      <c r="W239" s="1"/>
      <c r="X239" s="1"/>
      <c r="AA239" s="1">
        <f>[34]Liu_etal_2014_Fig2a!C2</f>
        <v>7.7696070578656895E-10</v>
      </c>
      <c r="AK239" t="s">
        <v>44</v>
      </c>
    </row>
    <row r="240" spans="1:37" hidden="1" x14ac:dyDescent="0.25">
      <c r="A240" t="s">
        <v>546</v>
      </c>
      <c r="B240" t="s">
        <v>125</v>
      </c>
      <c r="C240" t="s">
        <v>67</v>
      </c>
      <c r="D240" t="s">
        <v>68</v>
      </c>
      <c r="E240" t="s">
        <v>17</v>
      </c>
      <c r="F240" t="s">
        <v>126</v>
      </c>
      <c r="G240" t="s">
        <v>616</v>
      </c>
      <c r="H240" t="s">
        <v>760</v>
      </c>
      <c r="I240" t="s">
        <v>705</v>
      </c>
      <c r="J240">
        <f>5*30+1</f>
        <v>151</v>
      </c>
      <c r="K240" t="s">
        <v>241</v>
      </c>
      <c r="L240" t="s">
        <v>436</v>
      </c>
      <c r="M240" t="str">
        <f t="shared" si="31"/>
        <v>Stress</v>
      </c>
      <c r="R240" t="s">
        <v>408</v>
      </c>
      <c r="S240" t="s">
        <v>701</v>
      </c>
      <c r="T240" t="s">
        <v>695</v>
      </c>
      <c r="U240" t="s">
        <v>609</v>
      </c>
      <c r="V240" s="1"/>
      <c r="W240" s="1"/>
      <c r="X240" s="1"/>
      <c r="AA240" s="1">
        <f>[34]Liu_etal_2014_Fig2a!C3</f>
        <v>5.7052532505483996E-10</v>
      </c>
      <c r="AK240" t="s">
        <v>44</v>
      </c>
    </row>
    <row r="241" spans="1:37" hidden="1" x14ac:dyDescent="0.25">
      <c r="A241" t="s">
        <v>546</v>
      </c>
      <c r="B241" t="s">
        <v>125</v>
      </c>
      <c r="C241" t="s">
        <v>67</v>
      </c>
      <c r="D241" t="s">
        <v>68</v>
      </c>
      <c r="E241" t="s">
        <v>17</v>
      </c>
      <c r="F241" t="s">
        <v>126</v>
      </c>
      <c r="G241" t="s">
        <v>616</v>
      </c>
      <c r="H241" t="s">
        <v>760</v>
      </c>
      <c r="I241" t="s">
        <v>705</v>
      </c>
      <c r="J241">
        <f>5*30+1</f>
        <v>151</v>
      </c>
      <c r="K241" t="s">
        <v>241</v>
      </c>
      <c r="L241" t="s">
        <v>437</v>
      </c>
      <c r="M241" t="str">
        <f t="shared" si="31"/>
        <v>Stress</v>
      </c>
      <c r="R241" t="s">
        <v>408</v>
      </c>
      <c r="S241" t="s">
        <v>701</v>
      </c>
      <c r="T241" t="s">
        <v>695</v>
      </c>
      <c r="U241" t="s">
        <v>609</v>
      </c>
      <c r="V241" s="1"/>
      <c r="W241" s="1"/>
      <c r="X241" s="1"/>
      <c r="AA241" s="1">
        <f>[34]Liu_etal_2014_Fig2a!C4</f>
        <v>4.1209689784207603E-10</v>
      </c>
      <c r="AK241" t="s">
        <v>44</v>
      </c>
    </row>
    <row r="242" spans="1:37" hidden="1" x14ac:dyDescent="0.25">
      <c r="A242" t="s">
        <v>546</v>
      </c>
      <c r="B242" t="s">
        <v>125</v>
      </c>
      <c r="C242" t="s">
        <v>67</v>
      </c>
      <c r="D242" t="s">
        <v>68</v>
      </c>
      <c r="E242" t="s">
        <v>17</v>
      </c>
      <c r="F242" t="s">
        <v>126</v>
      </c>
      <c r="G242" t="s">
        <v>616</v>
      </c>
      <c r="H242" t="s">
        <v>760</v>
      </c>
      <c r="I242" t="s">
        <v>705</v>
      </c>
      <c r="J242">
        <f>5*30+7</f>
        <v>157</v>
      </c>
      <c r="K242" t="s">
        <v>241</v>
      </c>
      <c r="L242" t="s">
        <v>36</v>
      </c>
      <c r="M242" t="str">
        <f t="shared" si="31"/>
        <v>Control</v>
      </c>
      <c r="R242" t="s">
        <v>408</v>
      </c>
      <c r="S242" t="s">
        <v>701</v>
      </c>
      <c r="T242" t="s">
        <v>695</v>
      </c>
      <c r="U242" t="s">
        <v>609</v>
      </c>
      <c r="V242" s="1"/>
      <c r="W242" s="1"/>
      <c r="X242" s="1"/>
      <c r="AA242" s="1">
        <f>[34]Liu_etal_2014_Fig2a!C5</f>
        <v>7.9942625278993601E-10</v>
      </c>
      <c r="AK242" t="s">
        <v>44</v>
      </c>
    </row>
    <row r="243" spans="1:37" hidden="1" x14ac:dyDescent="0.25">
      <c r="A243" t="s">
        <v>546</v>
      </c>
      <c r="B243" t="s">
        <v>125</v>
      </c>
      <c r="C243" t="s">
        <v>67</v>
      </c>
      <c r="D243" t="s">
        <v>68</v>
      </c>
      <c r="E243" t="s">
        <v>17</v>
      </c>
      <c r="F243" t="s">
        <v>126</v>
      </c>
      <c r="G243" t="s">
        <v>616</v>
      </c>
      <c r="H243" t="s">
        <v>760</v>
      </c>
      <c r="I243" t="s">
        <v>705</v>
      </c>
      <c r="J243">
        <f>5*30+7</f>
        <v>157</v>
      </c>
      <c r="K243" t="s">
        <v>241</v>
      </c>
      <c r="L243" t="s">
        <v>436</v>
      </c>
      <c r="M243" t="str">
        <f t="shared" si="31"/>
        <v>Stress</v>
      </c>
      <c r="R243" t="s">
        <v>408</v>
      </c>
      <c r="S243" t="s">
        <v>701</v>
      </c>
      <c r="T243" t="s">
        <v>695</v>
      </c>
      <c r="U243" t="s">
        <v>609</v>
      </c>
      <c r="V243" s="1"/>
      <c r="W243" s="1"/>
      <c r="X243" s="1"/>
      <c r="AA243" s="1">
        <f>[34]Liu_etal_2014_Fig2a!C6</f>
        <v>6.0323893523192096E-10</v>
      </c>
      <c r="AK243" t="s">
        <v>44</v>
      </c>
    </row>
    <row r="244" spans="1:37" hidden="1" x14ac:dyDescent="0.25">
      <c r="A244" t="s">
        <v>546</v>
      </c>
      <c r="B244" t="s">
        <v>125</v>
      </c>
      <c r="C244" t="s">
        <v>67</v>
      </c>
      <c r="D244" t="s">
        <v>68</v>
      </c>
      <c r="E244" t="s">
        <v>17</v>
      </c>
      <c r="F244" t="s">
        <v>126</v>
      </c>
      <c r="G244" t="s">
        <v>616</v>
      </c>
      <c r="H244" t="s">
        <v>760</v>
      </c>
      <c r="I244" t="s">
        <v>705</v>
      </c>
      <c r="J244">
        <f>5*30+7</f>
        <v>157</v>
      </c>
      <c r="K244" t="s">
        <v>241</v>
      </c>
      <c r="L244" t="s">
        <v>437</v>
      </c>
      <c r="M244" t="str">
        <f t="shared" si="31"/>
        <v>Stress</v>
      </c>
      <c r="R244" t="s">
        <v>408</v>
      </c>
      <c r="S244" t="s">
        <v>701</v>
      </c>
      <c r="T244" t="s">
        <v>695</v>
      </c>
      <c r="U244" t="s">
        <v>609</v>
      </c>
      <c r="V244" s="1"/>
      <c r="W244" s="1"/>
      <c r="X244" s="1"/>
      <c r="AA244" s="1">
        <f>[34]Liu_etal_2014_Fig2a!C7</f>
        <v>6.04828572946632E-10</v>
      </c>
      <c r="AK244" t="s">
        <v>44</v>
      </c>
    </row>
    <row r="245" spans="1:37" hidden="1" x14ac:dyDescent="0.25">
      <c r="A245" t="s">
        <v>546</v>
      </c>
      <c r="B245" t="s">
        <v>125</v>
      </c>
      <c r="C245" t="s">
        <v>67</v>
      </c>
      <c r="D245" t="s">
        <v>68</v>
      </c>
      <c r="E245" t="s">
        <v>17</v>
      </c>
      <c r="F245" t="s">
        <v>126</v>
      </c>
      <c r="G245" t="s">
        <v>616</v>
      </c>
      <c r="H245" t="s">
        <v>760</v>
      </c>
      <c r="I245" t="s">
        <v>705</v>
      </c>
      <c r="J245">
        <f>5*30+21</f>
        <v>171</v>
      </c>
      <c r="K245" t="s">
        <v>241</v>
      </c>
      <c r="L245" t="s">
        <v>36</v>
      </c>
      <c r="M245" t="str">
        <f t="shared" si="31"/>
        <v>Control</v>
      </c>
      <c r="R245" t="s">
        <v>408</v>
      </c>
      <c r="S245" t="s">
        <v>701</v>
      </c>
      <c r="T245" t="s">
        <v>695</v>
      </c>
      <c r="U245" t="s">
        <v>609</v>
      </c>
      <c r="V245" s="1"/>
      <c r="W245" s="1"/>
      <c r="X245" s="1"/>
      <c r="AA245" s="1">
        <f>[34]Liu_etal_2014_Fig2a!C8</f>
        <v>9.3163046772047308E-10</v>
      </c>
      <c r="AK245" t="s">
        <v>44</v>
      </c>
    </row>
    <row r="246" spans="1:37" hidden="1" x14ac:dyDescent="0.25">
      <c r="A246" t="s">
        <v>546</v>
      </c>
      <c r="B246" t="s">
        <v>125</v>
      </c>
      <c r="C246" t="s">
        <v>67</v>
      </c>
      <c r="D246" t="s">
        <v>68</v>
      </c>
      <c r="E246" t="s">
        <v>17</v>
      </c>
      <c r="F246" t="s">
        <v>126</v>
      </c>
      <c r="G246" t="s">
        <v>616</v>
      </c>
      <c r="H246" t="s">
        <v>760</v>
      </c>
      <c r="I246" t="s">
        <v>705</v>
      </c>
      <c r="J246">
        <f>5*30+21</f>
        <v>171</v>
      </c>
      <c r="K246" t="s">
        <v>241</v>
      </c>
      <c r="L246" t="s">
        <v>436</v>
      </c>
      <c r="M246" t="str">
        <f t="shared" si="31"/>
        <v>Stress</v>
      </c>
      <c r="R246" t="s">
        <v>408</v>
      </c>
      <c r="S246" t="s">
        <v>701</v>
      </c>
      <c r="T246" t="s">
        <v>695</v>
      </c>
      <c r="U246" t="s">
        <v>609</v>
      </c>
      <c r="V246" s="1"/>
      <c r="W246" s="1"/>
      <c r="X246" s="1"/>
      <c r="AA246" s="1">
        <f>[34]Liu_etal_2014_Fig2a!C9</f>
        <v>9.1710551283900195E-10</v>
      </c>
      <c r="AK246" t="s">
        <v>44</v>
      </c>
    </row>
    <row r="247" spans="1:37" hidden="1" x14ac:dyDescent="0.25">
      <c r="A247" t="s">
        <v>546</v>
      </c>
      <c r="B247" t="s">
        <v>125</v>
      </c>
      <c r="C247" t="s">
        <v>67</v>
      </c>
      <c r="D247" t="s">
        <v>68</v>
      </c>
      <c r="E247" t="s">
        <v>17</v>
      </c>
      <c r="F247" t="s">
        <v>126</v>
      </c>
      <c r="G247" t="s">
        <v>616</v>
      </c>
      <c r="H247" t="s">
        <v>760</v>
      </c>
      <c r="I247" t="s">
        <v>705</v>
      </c>
      <c r="J247">
        <f>5*30+21</f>
        <v>171</v>
      </c>
      <c r="K247" t="s">
        <v>241</v>
      </c>
      <c r="L247" t="s">
        <v>437</v>
      </c>
      <c r="M247" t="str">
        <f t="shared" si="31"/>
        <v>Stress</v>
      </c>
      <c r="R247" t="s">
        <v>408</v>
      </c>
      <c r="S247" t="s">
        <v>701</v>
      </c>
      <c r="T247" t="s">
        <v>695</v>
      </c>
      <c r="U247" t="s">
        <v>609</v>
      </c>
      <c r="V247" s="1"/>
      <c r="W247" s="1"/>
      <c r="X247" s="1"/>
      <c r="AA247" s="1">
        <f>[34]Liu_etal_2014_Fig2a!C10</f>
        <v>7.1373845324751406E-10</v>
      </c>
      <c r="AK247" t="s">
        <v>44</v>
      </c>
    </row>
    <row r="248" spans="1:37" hidden="1" x14ac:dyDescent="0.25">
      <c r="A248" t="s">
        <v>546</v>
      </c>
      <c r="B248" t="s">
        <v>125</v>
      </c>
      <c r="C248" t="s">
        <v>67</v>
      </c>
      <c r="D248" t="s">
        <v>68</v>
      </c>
      <c r="E248" t="s">
        <v>17</v>
      </c>
      <c r="F248" t="s">
        <v>126</v>
      </c>
      <c r="G248" t="s">
        <v>616</v>
      </c>
      <c r="H248" t="s">
        <v>760</v>
      </c>
      <c r="I248" t="s">
        <v>705</v>
      </c>
      <c r="J248">
        <f>1*365+2*30+1</f>
        <v>426</v>
      </c>
      <c r="K248" t="s">
        <v>439</v>
      </c>
      <c r="L248" t="s">
        <v>36</v>
      </c>
      <c r="M248" t="str">
        <f t="shared" si="31"/>
        <v>Control</v>
      </c>
      <c r="N248" t="s">
        <v>36</v>
      </c>
      <c r="O248" t="str">
        <f t="shared" ref="O248:O263" si="34">+IF(N248="Control","Control","Stress")</f>
        <v>Control</v>
      </c>
      <c r="R248" t="s">
        <v>408</v>
      </c>
      <c r="S248" t="s">
        <v>701</v>
      </c>
      <c r="T248" t="s">
        <v>695</v>
      </c>
      <c r="U248" t="s">
        <v>609</v>
      </c>
      <c r="V248" s="1"/>
      <c r="W248" s="1"/>
      <c r="X248" s="1"/>
      <c r="AA248" s="1">
        <f>[35]Liu_etal_2014_Fig4!C2</f>
        <v>5.3786713715574205E-10</v>
      </c>
      <c r="AK248" t="s">
        <v>44</v>
      </c>
    </row>
    <row r="249" spans="1:37" hidden="1" x14ac:dyDescent="0.25">
      <c r="A249" t="s">
        <v>546</v>
      </c>
      <c r="B249" t="s">
        <v>125</v>
      </c>
      <c r="C249" t="s">
        <v>67</v>
      </c>
      <c r="D249" t="s">
        <v>68</v>
      </c>
      <c r="E249" t="s">
        <v>17</v>
      </c>
      <c r="F249" t="s">
        <v>126</v>
      </c>
      <c r="G249" t="s">
        <v>616</v>
      </c>
      <c r="H249" t="s">
        <v>760</v>
      </c>
      <c r="I249" t="s">
        <v>705</v>
      </c>
      <c r="J249">
        <f>1*365+2*30+1</f>
        <v>426</v>
      </c>
      <c r="K249" t="s">
        <v>439</v>
      </c>
      <c r="L249" t="s">
        <v>36</v>
      </c>
      <c r="M249" t="str">
        <f t="shared" ref="M249:M288" si="35">+IF(L249 = "Control", "Control", "Stress")</f>
        <v>Control</v>
      </c>
      <c r="N249" t="s">
        <v>440</v>
      </c>
      <c r="O249" t="str">
        <f t="shared" si="34"/>
        <v>Stress</v>
      </c>
      <c r="R249" t="s">
        <v>408</v>
      </c>
      <c r="S249" t="s">
        <v>701</v>
      </c>
      <c r="T249" t="s">
        <v>695</v>
      </c>
      <c r="U249" t="s">
        <v>609</v>
      </c>
      <c r="V249" s="1"/>
      <c r="W249" s="1"/>
      <c r="X249" s="1"/>
      <c r="AA249" s="1">
        <f>[35]Liu_etal_2014_Fig4!C3</f>
        <v>6.00847257734293E-10</v>
      </c>
      <c r="AK249" t="s">
        <v>44</v>
      </c>
    </row>
    <row r="250" spans="1:37" hidden="1" x14ac:dyDescent="0.25">
      <c r="A250" t="s">
        <v>546</v>
      </c>
      <c r="B250" t="s">
        <v>125</v>
      </c>
      <c r="C250" t="s">
        <v>67</v>
      </c>
      <c r="D250" t="s">
        <v>68</v>
      </c>
      <c r="E250" t="s">
        <v>17</v>
      </c>
      <c r="F250" t="s">
        <v>126</v>
      </c>
      <c r="G250" t="s">
        <v>616</v>
      </c>
      <c r="H250" t="s">
        <v>760</v>
      </c>
      <c r="I250" t="s">
        <v>705</v>
      </c>
      <c r="J250">
        <f>1*365+2*30+1</f>
        <v>426</v>
      </c>
      <c r="K250" t="s">
        <v>439</v>
      </c>
      <c r="L250" t="s">
        <v>241</v>
      </c>
      <c r="M250" t="str">
        <f t="shared" si="35"/>
        <v>Stress</v>
      </c>
      <c r="N250" t="s">
        <v>36</v>
      </c>
      <c r="O250" t="str">
        <f t="shared" si="34"/>
        <v>Control</v>
      </c>
      <c r="R250" t="s">
        <v>408</v>
      </c>
      <c r="S250" t="s">
        <v>701</v>
      </c>
      <c r="T250" t="s">
        <v>695</v>
      </c>
      <c r="U250" t="s">
        <v>609</v>
      </c>
      <c r="V250" s="1"/>
      <c r="W250" s="1"/>
      <c r="X250" s="1"/>
      <c r="AA250" s="1">
        <f>[35]Liu_etal_2014_Fig4!C4</f>
        <v>3.34615856362452E-10</v>
      </c>
      <c r="AK250" t="s">
        <v>44</v>
      </c>
    </row>
    <row r="251" spans="1:37" hidden="1" x14ac:dyDescent="0.25">
      <c r="A251" t="s">
        <v>546</v>
      </c>
      <c r="B251" t="s">
        <v>125</v>
      </c>
      <c r="C251" t="s">
        <v>67</v>
      </c>
      <c r="D251" t="s">
        <v>68</v>
      </c>
      <c r="E251" t="s">
        <v>17</v>
      </c>
      <c r="F251" t="s">
        <v>126</v>
      </c>
      <c r="G251" t="s">
        <v>616</v>
      </c>
      <c r="H251" t="s">
        <v>760</v>
      </c>
      <c r="I251" t="s">
        <v>705</v>
      </c>
      <c r="J251">
        <f>1*365+2*30+1</f>
        <v>426</v>
      </c>
      <c r="K251" t="s">
        <v>439</v>
      </c>
      <c r="L251" t="s">
        <v>241</v>
      </c>
      <c r="M251" t="str">
        <f t="shared" si="35"/>
        <v>Stress</v>
      </c>
      <c r="N251" t="s">
        <v>440</v>
      </c>
      <c r="O251" t="str">
        <f t="shared" si="34"/>
        <v>Stress</v>
      </c>
      <c r="R251" t="s">
        <v>408</v>
      </c>
      <c r="S251" t="s">
        <v>701</v>
      </c>
      <c r="T251" t="s">
        <v>695</v>
      </c>
      <c r="U251" t="s">
        <v>609</v>
      </c>
      <c r="V251" s="1"/>
      <c r="W251" s="1"/>
      <c r="X251" s="1"/>
      <c r="AA251" s="1">
        <f>[35]Liu_etal_2014_Fig4!C5</f>
        <v>3.7516572474502001E-10</v>
      </c>
      <c r="AK251" t="s">
        <v>44</v>
      </c>
    </row>
    <row r="252" spans="1:37" hidden="1" x14ac:dyDescent="0.25">
      <c r="A252" t="s">
        <v>546</v>
      </c>
      <c r="B252" t="s">
        <v>125</v>
      </c>
      <c r="C252" t="s">
        <v>67</v>
      </c>
      <c r="D252" t="s">
        <v>68</v>
      </c>
      <c r="E252" t="s">
        <v>17</v>
      </c>
      <c r="F252" t="s">
        <v>126</v>
      </c>
      <c r="G252" t="s">
        <v>616</v>
      </c>
      <c r="H252" t="s">
        <v>760</v>
      </c>
      <c r="I252" t="s">
        <v>705</v>
      </c>
      <c r="J252">
        <f>1*365+2*30+10</f>
        <v>435</v>
      </c>
      <c r="K252" t="s">
        <v>439</v>
      </c>
      <c r="L252" t="s">
        <v>36</v>
      </c>
      <c r="M252" t="str">
        <f t="shared" si="35"/>
        <v>Control</v>
      </c>
      <c r="N252" t="s">
        <v>36</v>
      </c>
      <c r="O252" t="str">
        <f t="shared" si="34"/>
        <v>Control</v>
      </c>
      <c r="R252" t="s">
        <v>408</v>
      </c>
      <c r="S252" t="s">
        <v>701</v>
      </c>
      <c r="T252" t="s">
        <v>695</v>
      </c>
      <c r="U252" t="s">
        <v>609</v>
      </c>
      <c r="V252" s="1"/>
      <c r="W252" s="1"/>
      <c r="X252" s="1"/>
      <c r="AA252" s="1">
        <f>[35]Liu_etal_2014_Fig4!C6</f>
        <v>5.5036654747190699E-10</v>
      </c>
      <c r="AK252" t="s">
        <v>44</v>
      </c>
    </row>
    <row r="253" spans="1:37" hidden="1" x14ac:dyDescent="0.25">
      <c r="A253" t="s">
        <v>546</v>
      </c>
      <c r="B253" t="s">
        <v>125</v>
      </c>
      <c r="C253" t="s">
        <v>67</v>
      </c>
      <c r="D253" t="s">
        <v>68</v>
      </c>
      <c r="E253" t="s">
        <v>17</v>
      </c>
      <c r="F253" t="s">
        <v>126</v>
      </c>
      <c r="G253" t="s">
        <v>616</v>
      </c>
      <c r="H253" t="s">
        <v>760</v>
      </c>
      <c r="I253" t="s">
        <v>705</v>
      </c>
      <c r="J253">
        <f>1*365+2*30+10</f>
        <v>435</v>
      </c>
      <c r="K253" t="s">
        <v>439</v>
      </c>
      <c r="L253" t="s">
        <v>36</v>
      </c>
      <c r="M253" t="str">
        <f t="shared" si="35"/>
        <v>Control</v>
      </c>
      <c r="N253" t="s">
        <v>440</v>
      </c>
      <c r="O253" t="str">
        <f t="shared" si="34"/>
        <v>Stress</v>
      </c>
      <c r="R253" t="s">
        <v>408</v>
      </c>
      <c r="S253" t="s">
        <v>701</v>
      </c>
      <c r="T253" t="s">
        <v>695</v>
      </c>
      <c r="U253" t="s">
        <v>609</v>
      </c>
      <c r="V253" s="1"/>
      <c r="W253" s="1"/>
      <c r="X253" s="1"/>
      <c r="AA253" s="1">
        <f>[35]Liu_etal_2014_Fig4!C7</f>
        <v>6.0569304361773304E-10</v>
      </c>
      <c r="AK253" t="s">
        <v>44</v>
      </c>
    </row>
    <row r="254" spans="1:37" hidden="1" x14ac:dyDescent="0.25">
      <c r="A254" t="s">
        <v>546</v>
      </c>
      <c r="B254" t="s">
        <v>125</v>
      </c>
      <c r="C254" t="s">
        <v>67</v>
      </c>
      <c r="D254" t="s">
        <v>68</v>
      </c>
      <c r="E254" t="s">
        <v>17</v>
      </c>
      <c r="F254" t="s">
        <v>126</v>
      </c>
      <c r="G254" t="s">
        <v>616</v>
      </c>
      <c r="H254" t="s">
        <v>760</v>
      </c>
      <c r="I254" t="s">
        <v>705</v>
      </c>
      <c r="J254">
        <f>1*365+2*30+10</f>
        <v>435</v>
      </c>
      <c r="K254" t="s">
        <v>439</v>
      </c>
      <c r="L254" t="s">
        <v>241</v>
      </c>
      <c r="M254" t="str">
        <f t="shared" si="35"/>
        <v>Stress</v>
      </c>
      <c r="N254" t="s">
        <v>36</v>
      </c>
      <c r="O254" t="str">
        <f t="shared" si="34"/>
        <v>Control</v>
      </c>
      <c r="R254" t="s">
        <v>408</v>
      </c>
      <c r="S254" t="s">
        <v>701</v>
      </c>
      <c r="T254" t="s">
        <v>695</v>
      </c>
      <c r="U254" t="s">
        <v>609</v>
      </c>
      <c r="V254" s="1"/>
      <c r="W254" s="1"/>
      <c r="X254" s="1"/>
      <c r="AA254" s="1">
        <f>[35]Liu_etal_2014_Fig4!C8</f>
        <v>4.0906886563700003E-10</v>
      </c>
      <c r="AK254" t="s">
        <v>44</v>
      </c>
    </row>
    <row r="255" spans="1:37" hidden="1" x14ac:dyDescent="0.25">
      <c r="A255" t="s">
        <v>546</v>
      </c>
      <c r="B255" t="s">
        <v>125</v>
      </c>
      <c r="C255" t="s">
        <v>67</v>
      </c>
      <c r="D255" t="s">
        <v>68</v>
      </c>
      <c r="E255" t="s">
        <v>17</v>
      </c>
      <c r="F255" t="s">
        <v>126</v>
      </c>
      <c r="G255" t="s">
        <v>616</v>
      </c>
      <c r="H255" t="s">
        <v>760</v>
      </c>
      <c r="I255" t="s">
        <v>705</v>
      </c>
      <c r="J255">
        <f>1*365+2*30+10</f>
        <v>435</v>
      </c>
      <c r="K255" t="s">
        <v>439</v>
      </c>
      <c r="L255" t="s">
        <v>241</v>
      </c>
      <c r="M255" t="str">
        <f t="shared" si="35"/>
        <v>Stress</v>
      </c>
      <c r="N255" t="s">
        <v>440</v>
      </c>
      <c r="O255" t="str">
        <f t="shared" si="34"/>
        <v>Stress</v>
      </c>
      <c r="R255" t="s">
        <v>408</v>
      </c>
      <c r="S255" t="s">
        <v>701</v>
      </c>
      <c r="T255" t="s">
        <v>695</v>
      </c>
      <c r="U255" t="s">
        <v>609</v>
      </c>
      <c r="V255" s="1"/>
      <c r="W255" s="1"/>
      <c r="X255" s="1"/>
      <c r="AA255" s="1">
        <f>[35]Liu_etal_2014_Fig4!C9</f>
        <v>4.3298078102444597E-10</v>
      </c>
      <c r="AK255" t="s">
        <v>44</v>
      </c>
    </row>
    <row r="256" spans="1:37" hidden="1" x14ac:dyDescent="0.25">
      <c r="A256" t="s">
        <v>546</v>
      </c>
      <c r="B256" t="s">
        <v>125</v>
      </c>
      <c r="C256" t="s">
        <v>67</v>
      </c>
      <c r="D256" t="s">
        <v>68</v>
      </c>
      <c r="E256" t="s">
        <v>17</v>
      </c>
      <c r="F256" t="s">
        <v>126</v>
      </c>
      <c r="G256" t="s">
        <v>616</v>
      </c>
      <c r="H256" t="s">
        <v>760</v>
      </c>
      <c r="I256" t="s">
        <v>705</v>
      </c>
      <c r="J256">
        <f>1*365+2*30+21</f>
        <v>446</v>
      </c>
      <c r="K256" t="s">
        <v>439</v>
      </c>
      <c r="L256" t="s">
        <v>36</v>
      </c>
      <c r="M256" t="str">
        <f t="shared" si="35"/>
        <v>Control</v>
      </c>
      <c r="N256" t="s">
        <v>36</v>
      </c>
      <c r="O256" t="str">
        <f t="shared" si="34"/>
        <v>Control</v>
      </c>
      <c r="R256" t="s">
        <v>408</v>
      </c>
      <c r="S256" t="s">
        <v>701</v>
      </c>
      <c r="T256" t="s">
        <v>695</v>
      </c>
      <c r="U256" t="s">
        <v>609</v>
      </c>
      <c r="V256" s="1"/>
      <c r="W256" s="1"/>
      <c r="X256" s="1"/>
      <c r="AA256" s="1">
        <f>[35]Liu_etal_2014_Fig4!C10</f>
        <v>5.6820613459887302E-10</v>
      </c>
      <c r="AK256" t="s">
        <v>44</v>
      </c>
    </row>
    <row r="257" spans="1:37" hidden="1" x14ac:dyDescent="0.25">
      <c r="A257" t="s">
        <v>546</v>
      </c>
      <c r="B257" t="s">
        <v>125</v>
      </c>
      <c r="C257" t="s">
        <v>67</v>
      </c>
      <c r="D257" t="s">
        <v>68</v>
      </c>
      <c r="E257" t="s">
        <v>17</v>
      </c>
      <c r="F257" t="s">
        <v>126</v>
      </c>
      <c r="G257" t="s">
        <v>616</v>
      </c>
      <c r="H257" t="s">
        <v>760</v>
      </c>
      <c r="I257" t="s">
        <v>705</v>
      </c>
      <c r="J257">
        <f>1*365+2*30+21</f>
        <v>446</v>
      </c>
      <c r="K257" t="s">
        <v>439</v>
      </c>
      <c r="L257" t="s">
        <v>36</v>
      </c>
      <c r="M257" t="str">
        <f t="shared" si="35"/>
        <v>Control</v>
      </c>
      <c r="N257" t="s">
        <v>440</v>
      </c>
      <c r="O257" t="str">
        <f t="shared" si="34"/>
        <v>Stress</v>
      </c>
      <c r="R257" t="s">
        <v>408</v>
      </c>
      <c r="S257" t="s">
        <v>701</v>
      </c>
      <c r="T257" t="s">
        <v>695</v>
      </c>
      <c r="U257" t="s">
        <v>609</v>
      </c>
      <c r="V257" s="1"/>
      <c r="W257" s="1"/>
      <c r="X257" s="1"/>
      <c r="AA257" s="1">
        <f>[35]Liu_etal_2014_Fig4!C11</f>
        <v>5.2525828151978007E-10</v>
      </c>
      <c r="AD257" s="2"/>
      <c r="AK257" t="s">
        <v>44</v>
      </c>
    </row>
    <row r="258" spans="1:37" hidden="1" x14ac:dyDescent="0.25">
      <c r="A258" t="s">
        <v>546</v>
      </c>
      <c r="B258" t="s">
        <v>125</v>
      </c>
      <c r="C258" t="s">
        <v>67</v>
      </c>
      <c r="D258" t="s">
        <v>68</v>
      </c>
      <c r="E258" t="s">
        <v>17</v>
      </c>
      <c r="F258" t="s">
        <v>126</v>
      </c>
      <c r="G258" t="s">
        <v>616</v>
      </c>
      <c r="H258" t="s">
        <v>760</v>
      </c>
      <c r="I258" t="s">
        <v>705</v>
      </c>
      <c r="J258">
        <f>1*365+2*30+21</f>
        <v>446</v>
      </c>
      <c r="K258" t="s">
        <v>439</v>
      </c>
      <c r="L258" t="s">
        <v>241</v>
      </c>
      <c r="M258" t="str">
        <f t="shared" si="35"/>
        <v>Stress</v>
      </c>
      <c r="N258" t="s">
        <v>36</v>
      </c>
      <c r="O258" t="str">
        <f t="shared" si="34"/>
        <v>Control</v>
      </c>
      <c r="R258" t="s">
        <v>408</v>
      </c>
      <c r="S258" t="s">
        <v>701</v>
      </c>
      <c r="T258" t="s">
        <v>695</v>
      </c>
      <c r="U258" t="s">
        <v>609</v>
      </c>
      <c r="V258" s="1"/>
      <c r="W258" s="1"/>
      <c r="X258" s="1"/>
      <c r="AA258" s="1">
        <f>[35]Liu_etal_2014_Fig4!C12</f>
        <v>4.62981492933657E-10</v>
      </c>
      <c r="AD258" s="2"/>
      <c r="AK258" t="s">
        <v>44</v>
      </c>
    </row>
    <row r="259" spans="1:37" hidden="1" x14ac:dyDescent="0.25">
      <c r="A259" t="s">
        <v>546</v>
      </c>
      <c r="B259" t="s">
        <v>125</v>
      </c>
      <c r="C259" t="s">
        <v>67</v>
      </c>
      <c r="D259" t="s">
        <v>68</v>
      </c>
      <c r="E259" t="s">
        <v>17</v>
      </c>
      <c r="F259" t="s">
        <v>126</v>
      </c>
      <c r="G259" t="s">
        <v>616</v>
      </c>
      <c r="H259" t="s">
        <v>760</v>
      </c>
      <c r="I259" t="s">
        <v>705</v>
      </c>
      <c r="J259">
        <f>1*365+2*30+21</f>
        <v>446</v>
      </c>
      <c r="K259" t="s">
        <v>439</v>
      </c>
      <c r="L259" t="s">
        <v>241</v>
      </c>
      <c r="M259" t="str">
        <f t="shared" si="35"/>
        <v>Stress</v>
      </c>
      <c r="N259" t="s">
        <v>440</v>
      </c>
      <c r="O259" t="str">
        <f t="shared" si="34"/>
        <v>Stress</v>
      </c>
      <c r="R259" t="s">
        <v>408</v>
      </c>
      <c r="S259" t="s">
        <v>701</v>
      </c>
      <c r="T259" t="s">
        <v>695</v>
      </c>
      <c r="U259" t="s">
        <v>609</v>
      </c>
      <c r="V259" s="1"/>
      <c r="W259" s="1"/>
      <c r="X259" s="1"/>
      <c r="AA259" s="1">
        <f>[35]Liu_etal_2014_Fig4!C13</f>
        <v>4.4384983347328506E-10</v>
      </c>
      <c r="AD259" s="2"/>
      <c r="AK259" t="s">
        <v>44</v>
      </c>
    </row>
    <row r="260" spans="1:37" hidden="1" x14ac:dyDescent="0.25">
      <c r="A260" t="s">
        <v>58</v>
      </c>
      <c r="B260" t="s">
        <v>59</v>
      </c>
      <c r="C260" t="s">
        <v>60</v>
      </c>
      <c r="D260" t="s">
        <v>16</v>
      </c>
      <c r="E260" t="s">
        <v>29</v>
      </c>
      <c r="F260" t="s">
        <v>30</v>
      </c>
      <c r="G260" t="s">
        <v>30</v>
      </c>
      <c r="H260" t="s">
        <v>30</v>
      </c>
      <c r="I260" t="s">
        <v>704</v>
      </c>
      <c r="J260">
        <f>4+12+7</f>
        <v>23</v>
      </c>
      <c r="K260" t="s">
        <v>715</v>
      </c>
      <c r="L260" t="s">
        <v>36</v>
      </c>
      <c r="M260" t="str">
        <f t="shared" si="35"/>
        <v>Control</v>
      </c>
      <c r="N260" t="s">
        <v>36</v>
      </c>
      <c r="O260" t="str">
        <f t="shared" si="34"/>
        <v>Control</v>
      </c>
      <c r="R260" t="s">
        <v>408</v>
      </c>
      <c r="S260" t="s">
        <v>701</v>
      </c>
      <c r="T260" t="s">
        <v>695</v>
      </c>
      <c r="U260" t="s">
        <v>609</v>
      </c>
      <c r="V260" s="1" t="s">
        <v>733</v>
      </c>
      <c r="W260" s="1">
        <f t="shared" ref="W260:W263" si="36">+AB260*AD260/10000</f>
        <v>1.0154913294797701E-9</v>
      </c>
      <c r="X260" s="1"/>
      <c r="Y260" s="1"/>
      <c r="Z260" s="1"/>
      <c r="AA260" s="1"/>
      <c r="AB260" s="1">
        <f>[36]Liu_etal_2014_Fig7b!B2</f>
        <v>1.1999999999999999E-7</v>
      </c>
      <c r="AC260" s="1"/>
      <c r="AD260" s="2">
        <f>[37]Liu_etal_2014_Fig7c!B2</f>
        <v>84.624277456647505</v>
      </c>
      <c r="AF260" s="2"/>
      <c r="AK260" t="s">
        <v>199</v>
      </c>
    </row>
    <row r="261" spans="1:37" hidden="1" x14ac:dyDescent="0.25">
      <c r="A261" t="s">
        <v>58</v>
      </c>
      <c r="B261" t="s">
        <v>59</v>
      </c>
      <c r="C261" t="s">
        <v>60</v>
      </c>
      <c r="D261" t="s">
        <v>16</v>
      </c>
      <c r="E261" t="s">
        <v>29</v>
      </c>
      <c r="F261" t="s">
        <v>30</v>
      </c>
      <c r="G261" t="s">
        <v>30</v>
      </c>
      <c r="H261" t="s">
        <v>30</v>
      </c>
      <c r="I261" t="s">
        <v>704</v>
      </c>
      <c r="J261">
        <f>4+12+7</f>
        <v>23</v>
      </c>
      <c r="K261" t="s">
        <v>715</v>
      </c>
      <c r="L261" t="s">
        <v>36</v>
      </c>
      <c r="M261" t="str">
        <f t="shared" si="35"/>
        <v>Control</v>
      </c>
      <c r="N261" t="s">
        <v>47</v>
      </c>
      <c r="O261" t="str">
        <f t="shared" si="34"/>
        <v>Stress</v>
      </c>
      <c r="R261" t="s">
        <v>408</v>
      </c>
      <c r="S261" t="s">
        <v>701</v>
      </c>
      <c r="T261" t="s">
        <v>695</v>
      </c>
      <c r="U261" t="s">
        <v>609</v>
      </c>
      <c r="V261" s="1" t="s">
        <v>733</v>
      </c>
      <c r="W261" s="1">
        <f t="shared" si="36"/>
        <v>9.8913294797687937E-10</v>
      </c>
      <c r="X261" s="1"/>
      <c r="Y261" s="1"/>
      <c r="Z261" s="1"/>
      <c r="AA261" s="1"/>
      <c r="AB261" s="1">
        <f>[36]Liu_etal_2014_Fig7b!B3</f>
        <v>1.24E-7</v>
      </c>
      <c r="AC261" s="1"/>
      <c r="AD261" s="2">
        <f>[37]Liu_etal_2014_Fig7c!B3</f>
        <v>79.768786127167701</v>
      </c>
      <c r="AF261" s="2"/>
      <c r="AK261" t="s">
        <v>199</v>
      </c>
    </row>
    <row r="262" spans="1:37" hidden="1" x14ac:dyDescent="0.25">
      <c r="A262" t="s">
        <v>58</v>
      </c>
      <c r="B262" t="s">
        <v>59</v>
      </c>
      <c r="C262" t="s">
        <v>60</v>
      </c>
      <c r="D262" t="s">
        <v>16</v>
      </c>
      <c r="E262" t="s">
        <v>29</v>
      </c>
      <c r="F262" t="s">
        <v>30</v>
      </c>
      <c r="G262" t="s">
        <v>30</v>
      </c>
      <c r="H262" t="s">
        <v>30</v>
      </c>
      <c r="I262" t="s">
        <v>704</v>
      </c>
      <c r="J262">
        <f>4+12+7</f>
        <v>23</v>
      </c>
      <c r="K262" t="s">
        <v>715</v>
      </c>
      <c r="L262" t="s">
        <v>61</v>
      </c>
      <c r="M262" t="str">
        <f t="shared" si="35"/>
        <v>Stress</v>
      </c>
      <c r="N262" t="s">
        <v>36</v>
      </c>
      <c r="O262" t="str">
        <f t="shared" si="34"/>
        <v>Control</v>
      </c>
      <c r="R262" t="s">
        <v>408</v>
      </c>
      <c r="S262" t="s">
        <v>701</v>
      </c>
      <c r="T262" t="s">
        <v>695</v>
      </c>
      <c r="U262" t="s">
        <v>609</v>
      </c>
      <c r="V262" s="1" t="s">
        <v>733</v>
      </c>
      <c r="W262" s="1">
        <f t="shared" si="36"/>
        <v>5.140751445086715E-10</v>
      </c>
      <c r="X262" s="1"/>
      <c r="Y262" s="1"/>
      <c r="Z262" s="1"/>
      <c r="AA262" s="1"/>
      <c r="AB262" s="1">
        <f>[36]Liu_etal_2014_Fig7b!B4</f>
        <v>6.0500000000000006E-8</v>
      </c>
      <c r="AC262" s="1"/>
      <c r="AD262" s="2">
        <f>[37]Liu_etal_2014_Fig7c!B4</f>
        <v>84.971098265896103</v>
      </c>
      <c r="AF262" s="2"/>
      <c r="AK262" t="s">
        <v>199</v>
      </c>
    </row>
    <row r="263" spans="1:37" hidden="1" x14ac:dyDescent="0.25">
      <c r="A263" t="s">
        <v>58</v>
      </c>
      <c r="B263" t="s">
        <v>59</v>
      </c>
      <c r="C263" t="s">
        <v>60</v>
      </c>
      <c r="D263" t="s">
        <v>16</v>
      </c>
      <c r="E263" t="s">
        <v>29</v>
      </c>
      <c r="F263" t="s">
        <v>30</v>
      </c>
      <c r="G263" t="s">
        <v>30</v>
      </c>
      <c r="H263" t="s">
        <v>30</v>
      </c>
      <c r="I263" t="s">
        <v>704</v>
      </c>
      <c r="J263">
        <f>4+12+7</f>
        <v>23</v>
      </c>
      <c r="K263" t="s">
        <v>715</v>
      </c>
      <c r="L263" t="s">
        <v>61</v>
      </c>
      <c r="M263" t="str">
        <f t="shared" si="35"/>
        <v>Stress</v>
      </c>
      <c r="N263" t="s">
        <v>47</v>
      </c>
      <c r="O263" t="str">
        <f t="shared" si="34"/>
        <v>Stress</v>
      </c>
      <c r="R263" t="s">
        <v>408</v>
      </c>
      <c r="S263" t="s">
        <v>701</v>
      </c>
      <c r="T263" t="s">
        <v>695</v>
      </c>
      <c r="U263" t="s">
        <v>609</v>
      </c>
      <c r="V263" s="1" t="s">
        <v>733</v>
      </c>
      <c r="W263" s="1">
        <f t="shared" si="36"/>
        <v>6.6190057803468117E-10</v>
      </c>
      <c r="X263" s="1"/>
      <c r="Y263" s="1"/>
      <c r="Z263" s="1"/>
      <c r="AA263" s="1"/>
      <c r="AB263" s="1">
        <f>[36]Liu_etal_2014_Fig7b!B5</f>
        <v>8.5199999999999995E-8</v>
      </c>
      <c r="AC263" s="1"/>
      <c r="AD263" s="2">
        <f>[37]Liu_etal_2014_Fig7c!B5</f>
        <v>77.687861271676198</v>
      </c>
      <c r="AF263" s="2"/>
      <c r="AK263" t="s">
        <v>199</v>
      </c>
    </row>
    <row r="264" spans="1:37" hidden="1" x14ac:dyDescent="0.25">
      <c r="A264" t="s">
        <v>548</v>
      </c>
      <c r="B264" t="s">
        <v>549</v>
      </c>
      <c r="C264" t="s">
        <v>228</v>
      </c>
      <c r="D264" t="s">
        <v>196</v>
      </c>
      <c r="E264" t="s">
        <v>17</v>
      </c>
      <c r="F264" t="s">
        <v>197</v>
      </c>
      <c r="G264" t="s">
        <v>612</v>
      </c>
      <c r="H264" t="s">
        <v>761</v>
      </c>
      <c r="I264" t="s">
        <v>705</v>
      </c>
      <c r="J264">
        <f>16*30</f>
        <v>480</v>
      </c>
      <c r="K264" t="s">
        <v>81</v>
      </c>
      <c r="L264" t="s">
        <v>36</v>
      </c>
      <c r="M264" t="str">
        <f t="shared" si="35"/>
        <v>Control</v>
      </c>
      <c r="R264" t="s">
        <v>408</v>
      </c>
      <c r="S264" t="s">
        <v>701</v>
      </c>
      <c r="T264" t="s">
        <v>695</v>
      </c>
      <c r="U264" t="s">
        <v>609</v>
      </c>
      <c r="V264" s="1" t="s">
        <v>774</v>
      </c>
      <c r="W264" s="1">
        <f>'[38]Jimenez-Casas&amp;Zwiazek_2014_Fig4'!B2</f>
        <v>1.37582417582417E-8</v>
      </c>
      <c r="X264" s="1"/>
      <c r="Y264" s="1"/>
      <c r="AF264">
        <v>39.799999999999997</v>
      </c>
      <c r="AK264" t="s">
        <v>44</v>
      </c>
    </row>
    <row r="265" spans="1:37" hidden="1" x14ac:dyDescent="0.25">
      <c r="A265" t="s">
        <v>548</v>
      </c>
      <c r="B265" t="s">
        <v>549</v>
      </c>
      <c r="C265" t="s">
        <v>228</v>
      </c>
      <c r="D265" t="s">
        <v>196</v>
      </c>
      <c r="E265" t="s">
        <v>17</v>
      </c>
      <c r="F265" t="s">
        <v>197</v>
      </c>
      <c r="G265" t="s">
        <v>612</v>
      </c>
      <c r="H265" t="s">
        <v>761</v>
      </c>
      <c r="I265" t="s">
        <v>705</v>
      </c>
      <c r="J265">
        <f>16*30</f>
        <v>480</v>
      </c>
      <c r="K265" t="s">
        <v>81</v>
      </c>
      <c r="L265" t="s">
        <v>445</v>
      </c>
      <c r="M265" t="str">
        <f t="shared" si="35"/>
        <v>Stress</v>
      </c>
      <c r="R265" t="s">
        <v>408</v>
      </c>
      <c r="S265" t="s">
        <v>701</v>
      </c>
      <c r="T265" t="s">
        <v>695</v>
      </c>
      <c r="U265" t="s">
        <v>609</v>
      </c>
      <c r="V265" s="1" t="s">
        <v>774</v>
      </c>
      <c r="W265" s="1">
        <f>'[38]Jimenez-Casas&amp;Zwiazek_2014_Fig4'!B3</f>
        <v>7.4285714285714302E-9</v>
      </c>
      <c r="X265" s="1"/>
      <c r="Y265" s="1"/>
      <c r="AF265">
        <v>21.9</v>
      </c>
      <c r="AK265" t="s">
        <v>44</v>
      </c>
    </row>
    <row r="266" spans="1:37" hidden="1" x14ac:dyDescent="0.25">
      <c r="A266" t="s">
        <v>548</v>
      </c>
      <c r="B266" t="s">
        <v>549</v>
      </c>
      <c r="C266" t="s">
        <v>228</v>
      </c>
      <c r="D266" t="s">
        <v>196</v>
      </c>
      <c r="E266" t="s">
        <v>17</v>
      </c>
      <c r="F266" t="s">
        <v>197</v>
      </c>
      <c r="G266" t="s">
        <v>612</v>
      </c>
      <c r="H266" t="s">
        <v>761</v>
      </c>
      <c r="I266" t="s">
        <v>705</v>
      </c>
      <c r="J266">
        <f>16*30</f>
        <v>480</v>
      </c>
      <c r="K266" t="s">
        <v>81</v>
      </c>
      <c r="L266" t="s">
        <v>550</v>
      </c>
      <c r="M266" t="str">
        <f t="shared" si="35"/>
        <v>Stress</v>
      </c>
      <c r="R266" t="s">
        <v>408</v>
      </c>
      <c r="S266" t="s">
        <v>701</v>
      </c>
      <c r="T266" t="s">
        <v>695</v>
      </c>
      <c r="U266" t="s">
        <v>609</v>
      </c>
      <c r="V266" s="1" t="s">
        <v>774</v>
      </c>
      <c r="W266" s="1">
        <f>'[38]Jimenez-Casas&amp;Zwiazek_2014_Fig4'!B4</f>
        <v>3.4725274725274701E-9</v>
      </c>
      <c r="X266" s="1"/>
      <c r="Y266" s="1"/>
      <c r="AF266">
        <v>15.6</v>
      </c>
      <c r="AK266" t="s">
        <v>44</v>
      </c>
    </row>
    <row r="267" spans="1:37" hidden="1" x14ac:dyDescent="0.25">
      <c r="A267" t="s">
        <v>376</v>
      </c>
      <c r="B267" t="s">
        <v>102</v>
      </c>
      <c r="C267" t="s">
        <v>75</v>
      </c>
      <c r="D267" t="s">
        <v>16</v>
      </c>
      <c r="E267" t="s">
        <v>17</v>
      </c>
      <c r="F267" t="s">
        <v>18</v>
      </c>
      <c r="G267" t="s">
        <v>18</v>
      </c>
      <c r="H267" t="s">
        <v>18</v>
      </c>
      <c r="I267" t="s">
        <v>704</v>
      </c>
      <c r="J267">
        <f>+AVERAGE(15,17)</f>
        <v>16</v>
      </c>
      <c r="K267" t="s">
        <v>81</v>
      </c>
      <c r="L267" t="s">
        <v>36</v>
      </c>
      <c r="M267" t="str">
        <f t="shared" si="35"/>
        <v>Control</v>
      </c>
      <c r="R267" t="s">
        <v>408</v>
      </c>
      <c r="S267" t="s">
        <v>701</v>
      </c>
      <c r="T267" t="s">
        <v>695</v>
      </c>
      <c r="U267" t="s">
        <v>610</v>
      </c>
      <c r="V267" s="1" t="s">
        <v>733</v>
      </c>
      <c r="W267" s="1">
        <f t="shared" ref="W267:W268" si="37">+AB267*AD267/10000</f>
        <v>9.897904943453632E-11</v>
      </c>
      <c r="AB267" s="1">
        <f>[39]Fricke_etal_2014_Fig2c!B2</f>
        <v>4.8939641109298499E-8</v>
      </c>
      <c r="AD267" s="2">
        <f>[40]Fricke_etal_2014_Fig2a!B2*10000</f>
        <v>20.2247191011236</v>
      </c>
      <c r="AH267"/>
      <c r="AI267"/>
      <c r="AJ267"/>
      <c r="AK267" t="s">
        <v>348</v>
      </c>
    </row>
    <row r="268" spans="1:37" hidden="1" x14ac:dyDescent="0.25">
      <c r="A268" t="s">
        <v>376</v>
      </c>
      <c r="B268" t="s">
        <v>102</v>
      </c>
      <c r="C268" t="s">
        <v>75</v>
      </c>
      <c r="D268" t="s">
        <v>16</v>
      </c>
      <c r="E268" t="s">
        <v>17</v>
      </c>
      <c r="F268" t="s">
        <v>18</v>
      </c>
      <c r="G268" t="s">
        <v>18</v>
      </c>
      <c r="H268" t="s">
        <v>18</v>
      </c>
      <c r="I268" t="s">
        <v>704</v>
      </c>
      <c r="J268">
        <f>+AVERAGE(15,17)</f>
        <v>16</v>
      </c>
      <c r="K268" t="s">
        <v>81</v>
      </c>
      <c r="L268" t="s">
        <v>81</v>
      </c>
      <c r="M268" t="str">
        <f t="shared" si="35"/>
        <v>Stress</v>
      </c>
      <c r="R268" t="s">
        <v>408</v>
      </c>
      <c r="S268" t="s">
        <v>701</v>
      </c>
      <c r="T268" t="s">
        <v>695</v>
      </c>
      <c r="U268" t="s">
        <v>610</v>
      </c>
      <c r="V268" s="1" t="s">
        <v>733</v>
      </c>
      <c r="W268" s="1">
        <f t="shared" si="37"/>
        <v>3.2370862453161561E-11</v>
      </c>
      <c r="AB268" s="1">
        <f>[39]Fricke_etal_2014_Fig2c!B3</f>
        <v>1.6639477977161501E-8</v>
      </c>
      <c r="AD268" s="2">
        <f>[40]Fricke_etal_2014_Fig2a!B3*10000</f>
        <v>19.454253611556901</v>
      </c>
      <c r="AH268"/>
      <c r="AI268"/>
      <c r="AJ268"/>
      <c r="AK268" t="s">
        <v>348</v>
      </c>
    </row>
    <row r="269" spans="1:37" hidden="1" x14ac:dyDescent="0.25">
      <c r="A269" t="s">
        <v>371</v>
      </c>
      <c r="B269" t="s">
        <v>32</v>
      </c>
      <c r="C269" t="s">
        <v>33</v>
      </c>
      <c r="D269" t="s">
        <v>34</v>
      </c>
      <c r="E269" t="s">
        <v>17</v>
      </c>
      <c r="F269" t="s">
        <v>614</v>
      </c>
      <c r="G269" t="s">
        <v>614</v>
      </c>
      <c r="H269" t="s">
        <v>801</v>
      </c>
      <c r="I269" t="s">
        <v>804</v>
      </c>
      <c r="J269">
        <f>10+10*7+6</f>
        <v>86</v>
      </c>
      <c r="K269" t="s">
        <v>643</v>
      </c>
      <c r="L269" t="s">
        <v>36</v>
      </c>
      <c r="M269" t="str">
        <f t="shared" si="35"/>
        <v>Control</v>
      </c>
      <c r="N269" t="s">
        <v>210</v>
      </c>
      <c r="O269" t="s">
        <v>707</v>
      </c>
      <c r="R269" t="s">
        <v>408</v>
      </c>
      <c r="S269" t="s">
        <v>701</v>
      </c>
      <c r="T269" t="s">
        <v>695</v>
      </c>
      <c r="U269" t="s">
        <v>609</v>
      </c>
      <c r="V269" s="1"/>
      <c r="W269" s="1"/>
      <c r="X269" s="1"/>
      <c r="Y269" s="1"/>
      <c r="Z269" s="1"/>
      <c r="AA269" s="1">
        <f>'[41]Calvo-Polanco_etal_2014_Fig1'!B2*0.000001</f>
        <v>1.0216508795669799E-9</v>
      </c>
      <c r="AC269" s="1"/>
      <c r="AD269" s="2"/>
      <c r="AF269" s="2"/>
      <c r="AG269" s="2">
        <v>3.4</v>
      </c>
      <c r="AK269" t="s">
        <v>44</v>
      </c>
    </row>
    <row r="270" spans="1:37" hidden="1" x14ac:dyDescent="0.25">
      <c r="A270" t="s">
        <v>371</v>
      </c>
      <c r="B270" t="s">
        <v>32</v>
      </c>
      <c r="C270" t="s">
        <v>33</v>
      </c>
      <c r="D270" t="s">
        <v>34</v>
      </c>
      <c r="E270" t="s">
        <v>17</v>
      </c>
      <c r="F270" t="s">
        <v>614</v>
      </c>
      <c r="G270" t="s">
        <v>614</v>
      </c>
      <c r="H270" t="s">
        <v>801</v>
      </c>
      <c r="I270" t="s">
        <v>804</v>
      </c>
      <c r="J270">
        <f>10+10*7+6</f>
        <v>86</v>
      </c>
      <c r="K270" t="s">
        <v>643</v>
      </c>
      <c r="L270" t="s">
        <v>36</v>
      </c>
      <c r="M270" t="str">
        <f t="shared" si="35"/>
        <v>Control</v>
      </c>
      <c r="N270" t="s">
        <v>349</v>
      </c>
      <c r="O270" t="s">
        <v>707</v>
      </c>
      <c r="R270" t="s">
        <v>408</v>
      </c>
      <c r="S270" t="s">
        <v>701</v>
      </c>
      <c r="T270" t="s">
        <v>695</v>
      </c>
      <c r="U270" t="s">
        <v>609</v>
      </c>
      <c r="V270" s="1"/>
      <c r="W270" s="1"/>
      <c r="X270" s="1"/>
      <c r="Y270" s="1"/>
      <c r="Z270" s="1"/>
      <c r="AA270" s="1">
        <f>'[41]Calvo-Polanco_etal_2014_Fig1'!B3*0.000001</f>
        <v>1.15020297699594E-9</v>
      </c>
      <c r="AC270" s="1"/>
      <c r="AD270" s="2"/>
      <c r="AF270" s="2"/>
      <c r="AG270" s="2">
        <v>2.5</v>
      </c>
      <c r="AK270" t="s">
        <v>44</v>
      </c>
    </row>
    <row r="271" spans="1:37" hidden="1" x14ac:dyDescent="0.25">
      <c r="A271" t="s">
        <v>371</v>
      </c>
      <c r="B271" t="s">
        <v>32</v>
      </c>
      <c r="C271" t="s">
        <v>33</v>
      </c>
      <c r="D271" t="s">
        <v>34</v>
      </c>
      <c r="E271" t="s">
        <v>17</v>
      </c>
      <c r="F271" t="s">
        <v>614</v>
      </c>
      <c r="G271" t="s">
        <v>614</v>
      </c>
      <c r="H271" t="s">
        <v>801</v>
      </c>
      <c r="I271" t="s">
        <v>804</v>
      </c>
      <c r="J271">
        <f>10+10*7+6</f>
        <v>86</v>
      </c>
      <c r="K271" t="s">
        <v>643</v>
      </c>
      <c r="L271" t="s">
        <v>100</v>
      </c>
      <c r="M271" t="str">
        <f t="shared" si="35"/>
        <v>Stress</v>
      </c>
      <c r="N271" t="s">
        <v>210</v>
      </c>
      <c r="O271" t="s">
        <v>707</v>
      </c>
      <c r="R271" t="s">
        <v>408</v>
      </c>
      <c r="S271" t="s">
        <v>701</v>
      </c>
      <c r="T271" t="s">
        <v>695</v>
      </c>
      <c r="U271" t="s">
        <v>609</v>
      </c>
      <c r="V271" s="1"/>
      <c r="W271" s="1"/>
      <c r="X271" s="1"/>
      <c r="Y271" s="1"/>
      <c r="Z271" s="1"/>
      <c r="AA271" s="1">
        <f>'[41]Calvo-Polanco_etal_2014_Fig1'!B4*0.000001</f>
        <v>9.5060893098782103E-10</v>
      </c>
      <c r="AC271" s="1"/>
      <c r="AD271" s="3"/>
      <c r="AF271" s="2"/>
      <c r="AG271" s="2">
        <v>3.3</v>
      </c>
      <c r="AK271" t="s">
        <v>44</v>
      </c>
    </row>
    <row r="272" spans="1:37" hidden="1" x14ac:dyDescent="0.25">
      <c r="A272" t="s">
        <v>371</v>
      </c>
      <c r="B272" t="s">
        <v>32</v>
      </c>
      <c r="C272" t="s">
        <v>33</v>
      </c>
      <c r="D272" t="s">
        <v>34</v>
      </c>
      <c r="E272" t="s">
        <v>17</v>
      </c>
      <c r="F272" t="s">
        <v>614</v>
      </c>
      <c r="G272" t="s">
        <v>614</v>
      </c>
      <c r="H272" t="s">
        <v>801</v>
      </c>
      <c r="I272" t="s">
        <v>804</v>
      </c>
      <c r="J272">
        <f>10+10*7+6</f>
        <v>86</v>
      </c>
      <c r="K272" t="s">
        <v>643</v>
      </c>
      <c r="L272" t="s">
        <v>100</v>
      </c>
      <c r="M272" t="str">
        <f t="shared" si="35"/>
        <v>Stress</v>
      </c>
      <c r="N272" t="s">
        <v>349</v>
      </c>
      <c r="O272" t="s">
        <v>707</v>
      </c>
      <c r="R272" t="s">
        <v>408</v>
      </c>
      <c r="S272" t="s">
        <v>701</v>
      </c>
      <c r="T272" t="s">
        <v>695</v>
      </c>
      <c r="U272" t="s">
        <v>609</v>
      </c>
      <c r="V272" s="1"/>
      <c r="W272" s="1"/>
      <c r="X272" s="1"/>
      <c r="Y272" s="1"/>
      <c r="Z272" s="1"/>
      <c r="AA272" s="1">
        <f>'[41]Calvo-Polanco_etal_2014_Fig1'!B5*0.000001</f>
        <v>1.75236806495263E-9</v>
      </c>
      <c r="AC272" s="1"/>
      <c r="AD272" s="3"/>
      <c r="AF272" s="2"/>
      <c r="AG272" s="2">
        <v>3.1</v>
      </c>
      <c r="AK272" t="s">
        <v>44</v>
      </c>
    </row>
    <row r="273" spans="1:37" hidden="1" x14ac:dyDescent="0.25">
      <c r="A273" t="s">
        <v>62</v>
      </c>
      <c r="B273" t="s">
        <v>63</v>
      </c>
      <c r="C273" t="s">
        <v>64</v>
      </c>
      <c r="D273" t="s">
        <v>65</v>
      </c>
      <c r="E273" t="s">
        <v>17</v>
      </c>
      <c r="F273" t="s">
        <v>614</v>
      </c>
      <c r="G273" t="s">
        <v>614</v>
      </c>
      <c r="H273" t="s">
        <v>801</v>
      </c>
      <c r="I273" t="s">
        <v>804</v>
      </c>
      <c r="J273">
        <f t="shared" ref="J273:J280" si="38">6*7</f>
        <v>42</v>
      </c>
      <c r="K273" t="s">
        <v>629</v>
      </c>
      <c r="L273" t="s">
        <v>36</v>
      </c>
      <c r="M273" t="str">
        <f t="shared" ref="M273:M280" si="39">+IF(L273 = "Control", "Control", "Stress")</f>
        <v>Control</v>
      </c>
      <c r="N273" t="s">
        <v>441</v>
      </c>
      <c r="O273" t="s">
        <v>707</v>
      </c>
      <c r="R273" t="s">
        <v>408</v>
      </c>
      <c r="S273" t="s">
        <v>701</v>
      </c>
      <c r="T273" t="s">
        <v>695</v>
      </c>
      <c r="U273" t="s">
        <v>609</v>
      </c>
      <c r="V273" s="1" t="s">
        <v>774</v>
      </c>
      <c r="W273" s="1">
        <f>[42]Adiredjo_etal_2014_Fig2a!B2</f>
        <v>1.00421052631578E-9</v>
      </c>
      <c r="X273" s="1"/>
      <c r="Y273" s="1"/>
      <c r="Z273" s="1"/>
      <c r="AA273" s="1"/>
      <c r="AB273" s="1">
        <f>[43]Adiredjo_etal_2014_Fig2b!B2</f>
        <v>4.7553191489361599E-8</v>
      </c>
      <c r="AC273" s="1"/>
      <c r="AD273">
        <v>210</v>
      </c>
      <c r="AE273">
        <v>1669</v>
      </c>
      <c r="AF273" s="2">
        <v>0.28999999999999998</v>
      </c>
      <c r="AG273" s="2">
        <v>7.92</v>
      </c>
      <c r="AH273" s="2">
        <f t="shared" ref="AH273:AH280" si="40">+AD273/AE273*10</f>
        <v>1.2582384661473935</v>
      </c>
      <c r="AJ273" s="2">
        <v>2.39</v>
      </c>
      <c r="AK273" t="s">
        <v>199</v>
      </c>
    </row>
    <row r="274" spans="1:37" hidden="1" x14ac:dyDescent="0.25">
      <c r="A274" t="s">
        <v>62</v>
      </c>
      <c r="B274" t="s">
        <v>63</v>
      </c>
      <c r="C274" t="s">
        <v>64</v>
      </c>
      <c r="D274" t="s">
        <v>65</v>
      </c>
      <c r="E274" t="s">
        <v>17</v>
      </c>
      <c r="F274" t="s">
        <v>614</v>
      </c>
      <c r="G274" t="s">
        <v>614</v>
      </c>
      <c r="H274" t="s">
        <v>801</v>
      </c>
      <c r="I274" t="s">
        <v>804</v>
      </c>
      <c r="J274">
        <f t="shared" si="38"/>
        <v>42</v>
      </c>
      <c r="K274" t="s">
        <v>629</v>
      </c>
      <c r="L274" t="s">
        <v>36</v>
      </c>
      <c r="M274" t="str">
        <f t="shared" si="39"/>
        <v>Control</v>
      </c>
      <c r="N274" t="s">
        <v>442</v>
      </c>
      <c r="O274" t="s">
        <v>707</v>
      </c>
      <c r="R274" t="s">
        <v>408</v>
      </c>
      <c r="S274" t="s">
        <v>701</v>
      </c>
      <c r="T274" t="s">
        <v>695</v>
      </c>
      <c r="U274" t="s">
        <v>609</v>
      </c>
      <c r="V274" s="1" t="s">
        <v>774</v>
      </c>
      <c r="W274" s="1">
        <f>[42]Adiredjo_etal_2014_Fig2a!B3</f>
        <v>7.5315789473684101E-10</v>
      </c>
      <c r="X274" s="1"/>
      <c r="Y274" s="1"/>
      <c r="Z274" s="1"/>
      <c r="AA274" s="1"/>
      <c r="AB274" s="1">
        <f>[43]Adiredjo_etal_2014_Fig2b!B3</f>
        <v>5.6170212765957403E-8</v>
      </c>
      <c r="AC274" s="1"/>
      <c r="AD274">
        <v>134</v>
      </c>
      <c r="AE274">
        <v>1191</v>
      </c>
      <c r="AF274" s="2">
        <v>0.17</v>
      </c>
      <c r="AG274" s="2">
        <v>3.16</v>
      </c>
      <c r="AH274" s="2">
        <f t="shared" si="40"/>
        <v>1.1251049538203191</v>
      </c>
      <c r="AJ274" s="2">
        <v>1.05</v>
      </c>
      <c r="AK274" t="s">
        <v>199</v>
      </c>
    </row>
    <row r="275" spans="1:37" hidden="1" x14ac:dyDescent="0.25">
      <c r="A275" t="s">
        <v>62</v>
      </c>
      <c r="B275" t="s">
        <v>63</v>
      </c>
      <c r="C275" t="s">
        <v>64</v>
      </c>
      <c r="D275" t="s">
        <v>65</v>
      </c>
      <c r="E275" t="s">
        <v>17</v>
      </c>
      <c r="F275" t="s">
        <v>614</v>
      </c>
      <c r="G275" t="s">
        <v>614</v>
      </c>
      <c r="H275" t="s">
        <v>801</v>
      </c>
      <c r="I275" t="s">
        <v>804</v>
      </c>
      <c r="J275">
        <f t="shared" si="38"/>
        <v>42</v>
      </c>
      <c r="K275" t="s">
        <v>629</v>
      </c>
      <c r="L275" t="s">
        <v>36</v>
      </c>
      <c r="M275" t="str">
        <f t="shared" si="39"/>
        <v>Control</v>
      </c>
      <c r="N275" t="s">
        <v>443</v>
      </c>
      <c r="O275" t="s">
        <v>707</v>
      </c>
      <c r="R275" t="s">
        <v>408</v>
      </c>
      <c r="S275" t="s">
        <v>701</v>
      </c>
      <c r="T275" t="s">
        <v>695</v>
      </c>
      <c r="U275" t="s">
        <v>609</v>
      </c>
      <c r="V275" s="1" t="s">
        <v>774</v>
      </c>
      <c r="W275" s="1">
        <f>[42]Adiredjo_etal_2014_Fig2a!B4</f>
        <v>1.20315789473684E-9</v>
      </c>
      <c r="X275" s="1"/>
      <c r="Y275" s="1"/>
      <c r="Z275" s="1"/>
      <c r="AA275" s="1"/>
      <c r="AB275" s="1">
        <f>[43]Adiredjo_etal_2014_Fig2b!B4</f>
        <v>7.6914893617021197E-8</v>
      </c>
      <c r="AC275" s="1"/>
      <c r="AD275">
        <v>161</v>
      </c>
      <c r="AE275">
        <v>1271</v>
      </c>
      <c r="AF275" s="2">
        <v>0.24</v>
      </c>
      <c r="AG275" s="2">
        <v>5.23</v>
      </c>
      <c r="AH275" s="2">
        <f t="shared" si="40"/>
        <v>1.2667191188040914</v>
      </c>
      <c r="AJ275" s="2">
        <v>1.63</v>
      </c>
      <c r="AK275" t="s">
        <v>199</v>
      </c>
    </row>
    <row r="276" spans="1:37" hidden="1" x14ac:dyDescent="0.25">
      <c r="A276" t="s">
        <v>62</v>
      </c>
      <c r="B276" t="s">
        <v>63</v>
      </c>
      <c r="C276" t="s">
        <v>64</v>
      </c>
      <c r="D276" t="s">
        <v>65</v>
      </c>
      <c r="E276" t="s">
        <v>17</v>
      </c>
      <c r="F276" t="s">
        <v>614</v>
      </c>
      <c r="G276" t="s">
        <v>614</v>
      </c>
      <c r="H276" t="s">
        <v>801</v>
      </c>
      <c r="I276" t="s">
        <v>804</v>
      </c>
      <c r="J276">
        <f t="shared" si="38"/>
        <v>42</v>
      </c>
      <c r="K276" t="s">
        <v>629</v>
      </c>
      <c r="L276" t="s">
        <v>36</v>
      </c>
      <c r="M276" t="str">
        <f t="shared" si="39"/>
        <v>Control</v>
      </c>
      <c r="N276" t="s">
        <v>444</v>
      </c>
      <c r="O276" t="s">
        <v>707</v>
      </c>
      <c r="R276" t="s">
        <v>408</v>
      </c>
      <c r="S276" t="s">
        <v>701</v>
      </c>
      <c r="T276" t="s">
        <v>695</v>
      </c>
      <c r="U276" t="s">
        <v>609</v>
      </c>
      <c r="V276" s="1" t="s">
        <v>774</v>
      </c>
      <c r="W276" s="1">
        <f>[42]Adiredjo_etal_2014_Fig2a!B5</f>
        <v>1.0089473684210499E-9</v>
      </c>
      <c r="X276" s="1"/>
      <c r="Y276" s="1"/>
      <c r="Z276" s="1"/>
      <c r="AA276" s="1"/>
      <c r="AB276" s="1">
        <f>[43]Adiredjo_etal_2014_Fig2b!B5</f>
        <v>6.6382978723404206E-8</v>
      </c>
      <c r="AC276" s="1"/>
      <c r="AD276">
        <v>152</v>
      </c>
      <c r="AE276">
        <v>1247</v>
      </c>
      <c r="AF276" s="2">
        <v>0.27</v>
      </c>
      <c r="AG276" s="2">
        <v>7.21</v>
      </c>
      <c r="AH276" s="2">
        <f t="shared" si="40"/>
        <v>1.218925421010425</v>
      </c>
      <c r="AJ276" s="2">
        <v>2.0099999999999998</v>
      </c>
      <c r="AK276" t="s">
        <v>199</v>
      </c>
    </row>
    <row r="277" spans="1:37" hidden="1" x14ac:dyDescent="0.25">
      <c r="A277" t="s">
        <v>62</v>
      </c>
      <c r="B277" t="s">
        <v>63</v>
      </c>
      <c r="C277" t="s">
        <v>64</v>
      </c>
      <c r="D277" t="s">
        <v>65</v>
      </c>
      <c r="E277" t="s">
        <v>17</v>
      </c>
      <c r="F277" t="s">
        <v>614</v>
      </c>
      <c r="G277" t="s">
        <v>614</v>
      </c>
      <c r="H277" t="s">
        <v>801</v>
      </c>
      <c r="I277" t="s">
        <v>804</v>
      </c>
      <c r="J277">
        <f t="shared" si="38"/>
        <v>42</v>
      </c>
      <c r="K277" t="s">
        <v>629</v>
      </c>
      <c r="L277" t="s">
        <v>703</v>
      </c>
      <c r="M277" t="str">
        <f t="shared" si="39"/>
        <v>Stress</v>
      </c>
      <c r="N277" t="s">
        <v>441</v>
      </c>
      <c r="O277" t="s">
        <v>707</v>
      </c>
      <c r="R277" t="s">
        <v>408</v>
      </c>
      <c r="S277" t="s">
        <v>701</v>
      </c>
      <c r="T277" t="s">
        <v>695</v>
      </c>
      <c r="U277" t="s">
        <v>609</v>
      </c>
      <c r="V277" s="1" t="s">
        <v>774</v>
      </c>
      <c r="W277" s="1">
        <f>[42]Adiredjo_etal_2014_Fig2a!B6</f>
        <v>4.5947368421052599E-10</v>
      </c>
      <c r="X277" s="1"/>
      <c r="Y277" s="1"/>
      <c r="Z277" s="1"/>
      <c r="AA277" s="1"/>
      <c r="AB277" s="1">
        <f>[43]Adiredjo_etal_2014_Fig2b!B6</f>
        <v>2.20212765957447E-8</v>
      </c>
      <c r="AC277" s="1"/>
      <c r="AD277">
        <v>210</v>
      </c>
      <c r="AE277">
        <v>1669</v>
      </c>
      <c r="AF277" s="2">
        <v>0.28999999999999998</v>
      </c>
      <c r="AG277" s="2">
        <v>7.92</v>
      </c>
      <c r="AH277" s="2">
        <f t="shared" si="40"/>
        <v>1.2582384661473935</v>
      </c>
      <c r="AJ277" s="2">
        <v>2.39</v>
      </c>
      <c r="AK277" t="s">
        <v>199</v>
      </c>
    </row>
    <row r="278" spans="1:37" hidden="1" x14ac:dyDescent="0.25">
      <c r="A278" t="s">
        <v>62</v>
      </c>
      <c r="B278" t="s">
        <v>63</v>
      </c>
      <c r="C278" t="s">
        <v>64</v>
      </c>
      <c r="D278" t="s">
        <v>65</v>
      </c>
      <c r="E278" t="s">
        <v>17</v>
      </c>
      <c r="F278" t="s">
        <v>614</v>
      </c>
      <c r="G278" t="s">
        <v>614</v>
      </c>
      <c r="H278" t="s">
        <v>801</v>
      </c>
      <c r="I278" t="s">
        <v>804</v>
      </c>
      <c r="J278">
        <f t="shared" si="38"/>
        <v>42</v>
      </c>
      <c r="K278" t="s">
        <v>629</v>
      </c>
      <c r="L278" t="s">
        <v>703</v>
      </c>
      <c r="M278" t="str">
        <f t="shared" si="39"/>
        <v>Stress</v>
      </c>
      <c r="N278" t="s">
        <v>442</v>
      </c>
      <c r="O278" t="s">
        <v>707</v>
      </c>
      <c r="R278" t="s">
        <v>408</v>
      </c>
      <c r="S278" t="s">
        <v>701</v>
      </c>
      <c r="T278" t="s">
        <v>695</v>
      </c>
      <c r="U278" t="s">
        <v>609</v>
      </c>
      <c r="V278" s="1" t="s">
        <v>774</v>
      </c>
      <c r="W278" s="1">
        <f>[42]Adiredjo_etal_2014_Fig2a!B7</f>
        <v>2.7473684210526199E-10</v>
      </c>
      <c r="X278" s="1"/>
      <c r="Y278" s="1"/>
      <c r="Z278" s="1"/>
      <c r="AA278" s="1"/>
      <c r="AB278" s="1">
        <f>[43]Adiredjo_etal_2014_Fig2b!B7</f>
        <v>2.04255319148936E-8</v>
      </c>
      <c r="AC278" s="1"/>
      <c r="AD278">
        <v>134</v>
      </c>
      <c r="AE278">
        <v>1191</v>
      </c>
      <c r="AF278" s="2">
        <v>0.17</v>
      </c>
      <c r="AG278" s="2">
        <v>3.16</v>
      </c>
      <c r="AH278" s="2">
        <f t="shared" si="40"/>
        <v>1.1251049538203191</v>
      </c>
      <c r="AJ278" s="2">
        <v>1.05</v>
      </c>
      <c r="AK278" t="s">
        <v>199</v>
      </c>
    </row>
    <row r="279" spans="1:37" hidden="1" x14ac:dyDescent="0.25">
      <c r="A279" t="s">
        <v>62</v>
      </c>
      <c r="B279" t="s">
        <v>63</v>
      </c>
      <c r="C279" t="s">
        <v>64</v>
      </c>
      <c r="D279" t="s">
        <v>65</v>
      </c>
      <c r="E279" t="s">
        <v>17</v>
      </c>
      <c r="F279" t="s">
        <v>614</v>
      </c>
      <c r="G279" t="s">
        <v>614</v>
      </c>
      <c r="H279" t="s">
        <v>801</v>
      </c>
      <c r="I279" t="s">
        <v>804</v>
      </c>
      <c r="J279">
        <f t="shared" si="38"/>
        <v>42</v>
      </c>
      <c r="K279" t="s">
        <v>629</v>
      </c>
      <c r="L279" t="s">
        <v>703</v>
      </c>
      <c r="M279" t="str">
        <f t="shared" si="39"/>
        <v>Stress</v>
      </c>
      <c r="N279" t="s">
        <v>443</v>
      </c>
      <c r="O279" t="s">
        <v>707</v>
      </c>
      <c r="R279" t="s">
        <v>408</v>
      </c>
      <c r="S279" t="s">
        <v>701</v>
      </c>
      <c r="T279" t="s">
        <v>695</v>
      </c>
      <c r="U279" t="s">
        <v>609</v>
      </c>
      <c r="V279" s="1" t="s">
        <v>774</v>
      </c>
      <c r="W279" s="1">
        <f>[42]Adiredjo_etal_2014_Fig2a!B8</f>
        <v>3.4578947368420999E-10</v>
      </c>
      <c r="X279" s="1"/>
      <c r="Y279" s="1"/>
      <c r="Z279" s="1"/>
      <c r="AA279" s="1"/>
      <c r="AB279" s="1">
        <f>[43]Adiredjo_etal_2014_Fig2b!B8</f>
        <v>2.13829787234042E-8</v>
      </c>
      <c r="AC279" s="1"/>
      <c r="AD279">
        <v>161</v>
      </c>
      <c r="AE279">
        <v>1271</v>
      </c>
      <c r="AF279" s="2">
        <v>0.24</v>
      </c>
      <c r="AG279" s="2">
        <v>5.23</v>
      </c>
      <c r="AH279" s="2">
        <f t="shared" si="40"/>
        <v>1.2667191188040914</v>
      </c>
      <c r="AJ279" s="2">
        <v>1.63</v>
      </c>
      <c r="AK279" t="s">
        <v>199</v>
      </c>
    </row>
    <row r="280" spans="1:37" hidden="1" x14ac:dyDescent="0.25">
      <c r="A280" t="s">
        <v>62</v>
      </c>
      <c r="B280" t="s">
        <v>63</v>
      </c>
      <c r="C280" t="s">
        <v>64</v>
      </c>
      <c r="D280" t="s">
        <v>65</v>
      </c>
      <c r="E280" t="s">
        <v>17</v>
      </c>
      <c r="F280" t="s">
        <v>614</v>
      </c>
      <c r="G280" t="s">
        <v>614</v>
      </c>
      <c r="H280" t="s">
        <v>801</v>
      </c>
      <c r="I280" t="s">
        <v>804</v>
      </c>
      <c r="J280">
        <f t="shared" si="38"/>
        <v>42</v>
      </c>
      <c r="K280" t="s">
        <v>629</v>
      </c>
      <c r="L280" t="s">
        <v>703</v>
      </c>
      <c r="M280" t="str">
        <f t="shared" si="39"/>
        <v>Stress</v>
      </c>
      <c r="N280" t="s">
        <v>444</v>
      </c>
      <c r="O280" t="s">
        <v>707</v>
      </c>
      <c r="R280" t="s">
        <v>408</v>
      </c>
      <c r="S280" t="s">
        <v>701</v>
      </c>
      <c r="T280" t="s">
        <v>695</v>
      </c>
      <c r="U280" t="s">
        <v>609</v>
      </c>
      <c r="V280" s="1" t="s">
        <v>774</v>
      </c>
      <c r="W280" s="1">
        <f>[42]Adiredjo_etal_2014_Fig2a!B9</f>
        <v>3.3157894736842102E-10</v>
      </c>
      <c r="X280" s="1"/>
      <c r="Y280" s="1"/>
      <c r="Z280" s="1"/>
      <c r="AA280" s="1"/>
      <c r="AB280" s="1">
        <f>[43]Adiredjo_etal_2014_Fig2b!B9</f>
        <v>2.17021276595745E-8</v>
      </c>
      <c r="AC280" s="1"/>
      <c r="AD280">
        <v>152</v>
      </c>
      <c r="AE280">
        <v>1247</v>
      </c>
      <c r="AF280" s="2">
        <v>0.27</v>
      </c>
      <c r="AG280" s="2">
        <v>7.21</v>
      </c>
      <c r="AH280" s="2">
        <f t="shared" si="40"/>
        <v>1.218925421010425</v>
      </c>
      <c r="AJ280" s="2">
        <v>2.0099999999999998</v>
      </c>
      <c r="AK280" t="s">
        <v>199</v>
      </c>
    </row>
    <row r="281" spans="1:37" hidden="1" x14ac:dyDescent="0.25">
      <c r="A281" t="s">
        <v>242</v>
      </c>
      <c r="B281" t="s">
        <v>243</v>
      </c>
      <c r="C281" t="s">
        <v>244</v>
      </c>
      <c r="D281" t="s">
        <v>149</v>
      </c>
      <c r="E281" t="s">
        <v>17</v>
      </c>
      <c r="F281" t="s">
        <v>69</v>
      </c>
      <c r="G281" t="s">
        <v>763</v>
      </c>
      <c r="H281" t="s">
        <v>760</v>
      </c>
      <c r="I281" t="s">
        <v>705</v>
      </c>
      <c r="J281">
        <f t="shared" ref="J281:J289" si="41">2*365</f>
        <v>730</v>
      </c>
      <c r="K281" t="s">
        <v>512</v>
      </c>
      <c r="L281" t="s">
        <v>36</v>
      </c>
      <c r="M281" t="str">
        <f t="shared" si="35"/>
        <v>Control</v>
      </c>
      <c r="N281" t="s">
        <v>644</v>
      </c>
      <c r="O281" t="s">
        <v>707</v>
      </c>
      <c r="R281" t="s">
        <v>408</v>
      </c>
      <c r="S281" t="s">
        <v>701</v>
      </c>
      <c r="T281" t="s">
        <v>695</v>
      </c>
      <c r="U281" t="s">
        <v>609</v>
      </c>
      <c r="V281" s="1" t="s">
        <v>733</v>
      </c>
      <c r="W281" s="1">
        <f>+AC281*AI281</f>
        <v>7.5784208080220928E-8</v>
      </c>
      <c r="X281" s="1"/>
      <c r="AC281" s="1">
        <f>2.41*0.0000001</f>
        <v>2.41E-7</v>
      </c>
      <c r="AI281" s="5">
        <f>[44]Yang_etal_2013_Fig5!$D$6</f>
        <v>0.31445729493867602</v>
      </c>
      <c r="AK281" t="s">
        <v>44</v>
      </c>
    </row>
    <row r="282" spans="1:37" hidden="1" x14ac:dyDescent="0.25">
      <c r="A282" t="s">
        <v>242</v>
      </c>
      <c r="B282" t="s">
        <v>243</v>
      </c>
      <c r="C282" t="s">
        <v>244</v>
      </c>
      <c r="D282" t="s">
        <v>149</v>
      </c>
      <c r="E282" t="s">
        <v>17</v>
      </c>
      <c r="F282" t="s">
        <v>69</v>
      </c>
      <c r="G282" t="s">
        <v>763</v>
      </c>
      <c r="H282" t="s">
        <v>760</v>
      </c>
      <c r="I282" t="s">
        <v>705</v>
      </c>
      <c r="J282">
        <f t="shared" si="41"/>
        <v>730</v>
      </c>
      <c r="K282" t="s">
        <v>512</v>
      </c>
      <c r="L282" t="s">
        <v>647</v>
      </c>
      <c r="M282" t="str">
        <f t="shared" si="35"/>
        <v>Stress</v>
      </c>
      <c r="N282" t="s">
        <v>644</v>
      </c>
      <c r="O282" t="s">
        <v>707</v>
      </c>
      <c r="R282" t="s">
        <v>408</v>
      </c>
      <c r="S282" t="s">
        <v>701</v>
      </c>
      <c r="T282" t="s">
        <v>695</v>
      </c>
      <c r="U282" t="s">
        <v>609</v>
      </c>
      <c r="V282" s="1" t="s">
        <v>733</v>
      </c>
      <c r="W282" s="1">
        <f t="shared" ref="W282:W289" si="42">+AC282*AI282</f>
        <v>5.6849751970611044E-8</v>
      </c>
      <c r="X282" s="1"/>
      <c r="AC282" s="1">
        <f>1.99*0.0000001</f>
        <v>1.99E-7</v>
      </c>
      <c r="AI282" s="5">
        <f>[44]Yang_etal_2013_Fig5!$D$11</f>
        <v>0.28567714558096002</v>
      </c>
      <c r="AK282" t="s">
        <v>44</v>
      </c>
    </row>
    <row r="283" spans="1:37" hidden="1" x14ac:dyDescent="0.25">
      <c r="A283" t="s">
        <v>242</v>
      </c>
      <c r="B283" t="s">
        <v>243</v>
      </c>
      <c r="C283" t="s">
        <v>244</v>
      </c>
      <c r="D283" t="s">
        <v>149</v>
      </c>
      <c r="E283" t="s">
        <v>17</v>
      </c>
      <c r="F283" t="s">
        <v>69</v>
      </c>
      <c r="G283" t="s">
        <v>763</v>
      </c>
      <c r="H283" t="s">
        <v>760</v>
      </c>
      <c r="I283" t="s">
        <v>705</v>
      </c>
      <c r="J283">
        <f t="shared" si="41"/>
        <v>730</v>
      </c>
      <c r="K283" t="s">
        <v>512</v>
      </c>
      <c r="L283" t="s">
        <v>648</v>
      </c>
      <c r="M283" t="str">
        <f t="shared" si="35"/>
        <v>Stress</v>
      </c>
      <c r="N283" t="s">
        <v>644</v>
      </c>
      <c r="O283" t="s">
        <v>707</v>
      </c>
      <c r="R283" t="s">
        <v>408</v>
      </c>
      <c r="S283" t="s">
        <v>701</v>
      </c>
      <c r="T283" t="s">
        <v>695</v>
      </c>
      <c r="U283" t="s">
        <v>609</v>
      </c>
      <c r="V283" s="1" t="s">
        <v>733</v>
      </c>
      <c r="W283" s="1">
        <f t="shared" si="42"/>
        <v>3.7481796423623894E-8</v>
      </c>
      <c r="X283" s="1"/>
      <c r="AC283" s="1">
        <f>1.52*0.0000001</f>
        <v>1.5199999999999998E-7</v>
      </c>
      <c r="AI283" s="5">
        <f>[44]Yang_etal_2013_Fig5!$D$16</f>
        <v>0.24659076594489404</v>
      </c>
      <c r="AK283" t="s">
        <v>44</v>
      </c>
    </row>
    <row r="284" spans="1:37" hidden="1" x14ac:dyDescent="0.25">
      <c r="A284" t="s">
        <v>242</v>
      </c>
      <c r="B284" t="s">
        <v>243</v>
      </c>
      <c r="C284" t="s">
        <v>244</v>
      </c>
      <c r="D284" t="s">
        <v>149</v>
      </c>
      <c r="E284" t="s">
        <v>17</v>
      </c>
      <c r="F284" t="s">
        <v>69</v>
      </c>
      <c r="G284" t="s">
        <v>763</v>
      </c>
      <c r="H284" t="s">
        <v>760</v>
      </c>
      <c r="I284" t="s">
        <v>705</v>
      </c>
      <c r="J284">
        <f t="shared" si="41"/>
        <v>730</v>
      </c>
      <c r="K284" t="s">
        <v>512</v>
      </c>
      <c r="L284" t="s">
        <v>36</v>
      </c>
      <c r="M284" t="str">
        <f t="shared" si="35"/>
        <v>Control</v>
      </c>
      <c r="N284" t="s">
        <v>645</v>
      </c>
      <c r="O284" t="s">
        <v>707</v>
      </c>
      <c r="R284" t="s">
        <v>408</v>
      </c>
      <c r="S284" t="s">
        <v>701</v>
      </c>
      <c r="T284" t="s">
        <v>695</v>
      </c>
      <c r="U284" t="s">
        <v>609</v>
      </c>
      <c r="V284" s="1" t="s">
        <v>733</v>
      </c>
      <c r="W284" s="1">
        <f t="shared" si="42"/>
        <v>1.0041438349295953E-7</v>
      </c>
      <c r="X284" s="1"/>
      <c r="AC284" s="1">
        <f>2.49*0.0000001</f>
        <v>2.4900000000000002E-7</v>
      </c>
      <c r="AI284" s="5">
        <f>[44]Yang_etal_2013_Fig5!$D$21</f>
        <v>0.40327061643758844</v>
      </c>
      <c r="AK284" t="s">
        <v>44</v>
      </c>
    </row>
    <row r="285" spans="1:37" hidden="1" x14ac:dyDescent="0.25">
      <c r="A285" t="s">
        <v>242</v>
      </c>
      <c r="B285" t="s">
        <v>243</v>
      </c>
      <c r="C285" t="s">
        <v>244</v>
      </c>
      <c r="D285" t="s">
        <v>149</v>
      </c>
      <c r="E285" t="s">
        <v>17</v>
      </c>
      <c r="F285" t="s">
        <v>69</v>
      </c>
      <c r="G285" t="s">
        <v>763</v>
      </c>
      <c r="H285" t="s">
        <v>760</v>
      </c>
      <c r="I285" t="s">
        <v>705</v>
      </c>
      <c r="J285">
        <f t="shared" si="41"/>
        <v>730</v>
      </c>
      <c r="K285" t="s">
        <v>512</v>
      </c>
      <c r="L285" t="s">
        <v>647</v>
      </c>
      <c r="M285" t="str">
        <f t="shared" si="35"/>
        <v>Stress</v>
      </c>
      <c r="N285" t="s">
        <v>645</v>
      </c>
      <c r="O285" t="s">
        <v>707</v>
      </c>
      <c r="R285" t="s">
        <v>408</v>
      </c>
      <c r="S285" t="s">
        <v>701</v>
      </c>
      <c r="T285" t="s">
        <v>695</v>
      </c>
      <c r="U285" t="s">
        <v>609</v>
      </c>
      <c r="V285" s="1" t="s">
        <v>733</v>
      </c>
      <c r="W285" s="1">
        <f t="shared" si="42"/>
        <v>8.9783325857967777E-8</v>
      </c>
      <c r="X285" s="1"/>
      <c r="AC285" s="1">
        <f>2.6*0.0000001</f>
        <v>2.6E-7</v>
      </c>
      <c r="AI285" s="5">
        <f>[44]Yang_etal_2013_Fig5!$D$26</f>
        <v>0.34532048406910681</v>
      </c>
      <c r="AK285" t="s">
        <v>44</v>
      </c>
    </row>
    <row r="286" spans="1:37" hidden="1" x14ac:dyDescent="0.25">
      <c r="A286" t="s">
        <v>242</v>
      </c>
      <c r="B286" t="s">
        <v>243</v>
      </c>
      <c r="C286" t="s">
        <v>244</v>
      </c>
      <c r="D286" t="s">
        <v>149</v>
      </c>
      <c r="E286" t="s">
        <v>17</v>
      </c>
      <c r="F286" t="s">
        <v>69</v>
      </c>
      <c r="G286" t="s">
        <v>763</v>
      </c>
      <c r="H286" t="s">
        <v>760</v>
      </c>
      <c r="I286" t="s">
        <v>705</v>
      </c>
      <c r="J286">
        <f t="shared" si="41"/>
        <v>730</v>
      </c>
      <c r="K286" t="s">
        <v>512</v>
      </c>
      <c r="L286" t="s">
        <v>648</v>
      </c>
      <c r="M286" t="str">
        <f t="shared" si="35"/>
        <v>Stress</v>
      </c>
      <c r="N286" t="s">
        <v>645</v>
      </c>
      <c r="O286" t="s">
        <v>707</v>
      </c>
      <c r="R286" t="s">
        <v>408</v>
      </c>
      <c r="S286" t="s">
        <v>701</v>
      </c>
      <c r="T286" t="s">
        <v>695</v>
      </c>
      <c r="U286" t="s">
        <v>609</v>
      </c>
      <c r="V286" s="1" t="s">
        <v>733</v>
      </c>
      <c r="W286" s="1">
        <f t="shared" si="42"/>
        <v>6.5737224459296701E-8</v>
      </c>
      <c r="X286" s="1"/>
      <c r="AC286" s="1">
        <f>2.16*0.0000001</f>
        <v>2.16E-7</v>
      </c>
      <c r="AI286" s="5">
        <f>[44]Yang_etal_2013_Fig5!$D$31</f>
        <v>0.3043390021263736</v>
      </c>
      <c r="AK286" t="s">
        <v>44</v>
      </c>
    </row>
    <row r="287" spans="1:37" hidden="1" x14ac:dyDescent="0.25">
      <c r="A287" t="s">
        <v>242</v>
      </c>
      <c r="B287" t="s">
        <v>243</v>
      </c>
      <c r="C287" t="s">
        <v>244</v>
      </c>
      <c r="D287" t="s">
        <v>149</v>
      </c>
      <c r="E287" t="s">
        <v>17</v>
      </c>
      <c r="F287" t="s">
        <v>69</v>
      </c>
      <c r="G287" t="s">
        <v>763</v>
      </c>
      <c r="H287" t="s">
        <v>760</v>
      </c>
      <c r="I287" t="s">
        <v>705</v>
      </c>
      <c r="J287">
        <f t="shared" si="41"/>
        <v>730</v>
      </c>
      <c r="K287" t="s">
        <v>512</v>
      </c>
      <c r="L287" t="s">
        <v>36</v>
      </c>
      <c r="M287" t="str">
        <f t="shared" si="35"/>
        <v>Control</v>
      </c>
      <c r="N287" t="s">
        <v>646</v>
      </c>
      <c r="O287" t="s">
        <v>707</v>
      </c>
      <c r="R287" t="s">
        <v>408</v>
      </c>
      <c r="S287" t="s">
        <v>701</v>
      </c>
      <c r="T287" t="s">
        <v>695</v>
      </c>
      <c r="U287" t="s">
        <v>609</v>
      </c>
      <c r="V287" s="1" t="s">
        <v>733</v>
      </c>
      <c r="W287" s="1">
        <f t="shared" si="42"/>
        <v>1.2010470070063206E-7</v>
      </c>
      <c r="X287" s="1"/>
      <c r="AC287" s="1">
        <f>2.56*0.0000001</f>
        <v>2.5600000000000002E-7</v>
      </c>
      <c r="AI287" s="5">
        <f>[44]Yang_etal_2013_Fig5!$D$36</f>
        <v>0.46915898711184401</v>
      </c>
      <c r="AK287" t="s">
        <v>44</v>
      </c>
    </row>
    <row r="288" spans="1:37" hidden="1" x14ac:dyDescent="0.25">
      <c r="A288" t="s">
        <v>242</v>
      </c>
      <c r="B288" t="s">
        <v>243</v>
      </c>
      <c r="C288" t="s">
        <v>244</v>
      </c>
      <c r="D288" t="s">
        <v>149</v>
      </c>
      <c r="E288" t="s">
        <v>17</v>
      </c>
      <c r="F288" t="s">
        <v>69</v>
      </c>
      <c r="G288" t="s">
        <v>763</v>
      </c>
      <c r="H288" t="s">
        <v>760</v>
      </c>
      <c r="I288" t="s">
        <v>705</v>
      </c>
      <c r="J288">
        <f t="shared" si="41"/>
        <v>730</v>
      </c>
      <c r="K288" t="s">
        <v>512</v>
      </c>
      <c r="L288" t="s">
        <v>647</v>
      </c>
      <c r="M288" t="str">
        <f t="shared" si="35"/>
        <v>Stress</v>
      </c>
      <c r="N288" t="s">
        <v>646</v>
      </c>
      <c r="O288" t="s">
        <v>707</v>
      </c>
      <c r="R288" t="s">
        <v>408</v>
      </c>
      <c r="S288" t="s">
        <v>701</v>
      </c>
      <c r="T288" t="s">
        <v>695</v>
      </c>
      <c r="U288" t="s">
        <v>609</v>
      </c>
      <c r="V288" s="1" t="s">
        <v>733</v>
      </c>
      <c r="W288" s="1">
        <f t="shared" si="42"/>
        <v>1.1870692699566795E-7</v>
      </c>
      <c r="X288" s="1"/>
      <c r="AC288" s="1">
        <f>3.02*0.0000001</f>
        <v>3.0199999999999998E-7</v>
      </c>
      <c r="AI288" s="5">
        <f>[44]Yang_etal_2013_Fig5!$D$41</f>
        <v>0.39306929468764223</v>
      </c>
      <c r="AK288" t="s">
        <v>44</v>
      </c>
    </row>
    <row r="289" spans="1:37" hidden="1" x14ac:dyDescent="0.25">
      <c r="A289" t="s">
        <v>242</v>
      </c>
      <c r="B289" t="s">
        <v>243</v>
      </c>
      <c r="C289" t="s">
        <v>244</v>
      </c>
      <c r="D289" t="s">
        <v>149</v>
      </c>
      <c r="E289" t="s">
        <v>17</v>
      </c>
      <c r="F289" t="s">
        <v>69</v>
      </c>
      <c r="G289" t="s">
        <v>763</v>
      </c>
      <c r="H289" t="s">
        <v>760</v>
      </c>
      <c r="I289" t="s">
        <v>705</v>
      </c>
      <c r="J289">
        <f t="shared" si="41"/>
        <v>730</v>
      </c>
      <c r="K289" t="s">
        <v>512</v>
      </c>
      <c r="L289" t="s">
        <v>648</v>
      </c>
      <c r="M289" t="str">
        <f t="shared" ref="M289" si="43">+IF(L289 = "Control", "Control", "Stress")</f>
        <v>Stress</v>
      </c>
      <c r="N289" t="s">
        <v>646</v>
      </c>
      <c r="O289" t="s">
        <v>707</v>
      </c>
      <c r="R289" t="s">
        <v>408</v>
      </c>
      <c r="S289" t="s">
        <v>701</v>
      </c>
      <c r="T289" t="s">
        <v>695</v>
      </c>
      <c r="U289" t="s">
        <v>609</v>
      </c>
      <c r="V289" s="1" t="s">
        <v>733</v>
      </c>
      <c r="W289" s="1">
        <f t="shared" si="42"/>
        <v>8.1969296546470809E-8</v>
      </c>
      <c r="X289" s="1"/>
      <c r="AC289" s="1">
        <f>2.41*0.0000001</f>
        <v>2.41E-7</v>
      </c>
      <c r="AI289" s="5">
        <f>[44]Yang_etal_2013_Fig5!$D$46</f>
        <v>0.34012156243348884</v>
      </c>
      <c r="AK289" t="s">
        <v>44</v>
      </c>
    </row>
    <row r="290" spans="1:37" hidden="1" x14ac:dyDescent="0.25">
      <c r="A290" t="s">
        <v>66</v>
      </c>
      <c r="B290" t="s">
        <v>14</v>
      </c>
      <c r="C290" t="s">
        <v>15</v>
      </c>
      <c r="D290" t="s">
        <v>16</v>
      </c>
      <c r="E290" t="s">
        <v>17</v>
      </c>
      <c r="F290" t="s">
        <v>18</v>
      </c>
      <c r="G290" t="s">
        <v>18</v>
      </c>
      <c r="H290" t="s">
        <v>18</v>
      </c>
      <c r="I290" t="s">
        <v>704</v>
      </c>
      <c r="J290">
        <f>+AVERAGE(9,13)</f>
        <v>11</v>
      </c>
      <c r="K290" t="s">
        <v>756</v>
      </c>
      <c r="L290" t="s">
        <v>756</v>
      </c>
      <c r="M290" t="s">
        <v>756</v>
      </c>
      <c r="R290" t="s">
        <v>408</v>
      </c>
      <c r="S290" t="s">
        <v>701</v>
      </c>
      <c r="T290" t="s">
        <v>695</v>
      </c>
      <c r="U290" t="s">
        <v>610</v>
      </c>
      <c r="V290" s="1" t="s">
        <v>733</v>
      </c>
      <c r="W290" s="1">
        <f t="shared" ref="W290:W293" si="44">+AB290*AD290/10000</f>
        <v>2.0255954496978248E-11</v>
      </c>
      <c r="X290" s="1"/>
      <c r="Y290" s="1"/>
      <c r="Z290" s="1"/>
      <c r="AA290" s="1"/>
      <c r="AB290" s="1">
        <f>[45]Suku_etal_2013_Fig4d!B2</f>
        <v>4.1958762886597905E-8</v>
      </c>
      <c r="AC290" s="1"/>
      <c r="AD290" s="2">
        <f>[46]Suku_etal_2013_Fig3a!B2</f>
        <v>4.8275862068965401</v>
      </c>
      <c r="AF290" s="2"/>
      <c r="AG290" s="2"/>
      <c r="AI290" s="5">
        <f>[47]Suku_etal_2013_Fig3c!B2</f>
        <v>8.8888888888891896E-4</v>
      </c>
      <c r="AK290" t="s">
        <v>348</v>
      </c>
    </row>
    <row r="291" spans="1:37" hidden="1" x14ac:dyDescent="0.25">
      <c r="A291" t="s">
        <v>66</v>
      </c>
      <c r="B291" t="s">
        <v>14</v>
      </c>
      <c r="C291" t="s">
        <v>15</v>
      </c>
      <c r="D291" t="s">
        <v>16</v>
      </c>
      <c r="E291" t="s">
        <v>17</v>
      </c>
      <c r="F291" t="s">
        <v>18</v>
      </c>
      <c r="G291" t="s">
        <v>18</v>
      </c>
      <c r="H291" t="s">
        <v>18</v>
      </c>
      <c r="I291" t="s">
        <v>704</v>
      </c>
      <c r="J291">
        <f>+AVERAGE(14,18)</f>
        <v>16</v>
      </c>
      <c r="K291" t="s">
        <v>756</v>
      </c>
      <c r="L291" t="s">
        <v>756</v>
      </c>
      <c r="M291" t="s">
        <v>756</v>
      </c>
      <c r="R291" t="s">
        <v>408</v>
      </c>
      <c r="S291" t="s">
        <v>701</v>
      </c>
      <c r="T291" t="s">
        <v>695</v>
      </c>
      <c r="U291" t="s">
        <v>610</v>
      </c>
      <c r="V291" s="1" t="s">
        <v>733</v>
      </c>
      <c r="W291" s="1">
        <f t="shared" si="44"/>
        <v>1.1826215022091228E-10</v>
      </c>
      <c r="X291" s="1"/>
      <c r="Y291" s="1"/>
      <c r="Z291" s="1"/>
      <c r="AA291" s="1"/>
      <c r="AB291" s="1">
        <f>[45]Suku_etal_2013_Fig4d!B3</f>
        <v>8.2783505154639099E-8</v>
      </c>
      <c r="AC291" s="1"/>
      <c r="AD291" s="2">
        <f>[46]Suku_etal_2013_Fig3a!B3</f>
        <v>14.285714285714199</v>
      </c>
      <c r="AF291" s="2"/>
      <c r="AG291" s="2"/>
      <c r="AI291" s="5">
        <f>[47]Suku_etal_2013_Fig3c!B3</f>
        <v>3.2592592592592799E-3</v>
      </c>
      <c r="AK291" t="s">
        <v>348</v>
      </c>
    </row>
    <row r="292" spans="1:37" hidden="1" x14ac:dyDescent="0.25">
      <c r="A292" t="s">
        <v>66</v>
      </c>
      <c r="B292" t="s">
        <v>14</v>
      </c>
      <c r="C292" t="s">
        <v>15</v>
      </c>
      <c r="D292" t="s">
        <v>16</v>
      </c>
      <c r="E292" t="s">
        <v>17</v>
      </c>
      <c r="F292" t="s">
        <v>18</v>
      </c>
      <c r="G292" t="s">
        <v>18</v>
      </c>
      <c r="H292" t="s">
        <v>18</v>
      </c>
      <c r="I292" t="s">
        <v>704</v>
      </c>
      <c r="J292">
        <f>+AVERAGE(19,23)</f>
        <v>21</v>
      </c>
      <c r="K292" t="s">
        <v>756</v>
      </c>
      <c r="L292" t="s">
        <v>756</v>
      </c>
      <c r="M292" t="s">
        <v>756</v>
      </c>
      <c r="R292" t="s">
        <v>408</v>
      </c>
      <c r="S292" t="s">
        <v>701</v>
      </c>
      <c r="T292" t="s">
        <v>695</v>
      </c>
      <c r="U292" t="s">
        <v>610</v>
      </c>
      <c r="V292" s="1" t="s">
        <v>733</v>
      </c>
      <c r="W292" s="1">
        <f t="shared" si="44"/>
        <v>1.7344472093849899E-10</v>
      </c>
      <c r="X292" s="1"/>
      <c r="Y292" s="1"/>
      <c r="Z292" s="1"/>
      <c r="AA292" s="1"/>
      <c r="AB292" s="1">
        <f>[45]Suku_etal_2013_Fig4d!B4</f>
        <v>8.58762886597937E-8</v>
      </c>
      <c r="AC292" s="1"/>
      <c r="AD292" s="2">
        <f>[46]Suku_etal_2013_Fig3a!B4</f>
        <v>20.197044334975299</v>
      </c>
      <c r="AF292" s="2"/>
      <c r="AG292" s="2"/>
      <c r="AI292" s="5">
        <f>[47]Suku_etal_2013_Fig3c!B4</f>
        <v>5.20370370370368E-3</v>
      </c>
      <c r="AK292" t="s">
        <v>348</v>
      </c>
    </row>
    <row r="293" spans="1:37" hidden="1" x14ac:dyDescent="0.25">
      <c r="A293" t="s">
        <v>66</v>
      </c>
      <c r="B293" t="s">
        <v>14</v>
      </c>
      <c r="C293" t="s">
        <v>15</v>
      </c>
      <c r="D293" t="s">
        <v>16</v>
      </c>
      <c r="E293" t="s">
        <v>17</v>
      </c>
      <c r="F293" t="s">
        <v>18</v>
      </c>
      <c r="G293" t="s">
        <v>18</v>
      </c>
      <c r="H293" t="s">
        <v>18</v>
      </c>
      <c r="I293" t="s">
        <v>704</v>
      </c>
      <c r="J293">
        <f>+AVERAGE(24,28)</f>
        <v>26</v>
      </c>
      <c r="K293" t="s">
        <v>756</v>
      </c>
      <c r="L293" t="s">
        <v>756</v>
      </c>
      <c r="M293" t="s">
        <v>756</v>
      </c>
      <c r="R293" t="s">
        <v>408</v>
      </c>
      <c r="S293" t="s">
        <v>701</v>
      </c>
      <c r="T293" t="s">
        <v>695</v>
      </c>
      <c r="U293" t="s">
        <v>610</v>
      </c>
      <c r="V293" s="1" t="s">
        <v>733</v>
      </c>
      <c r="W293" s="1">
        <f t="shared" si="44"/>
        <v>4.9089330150830301E-10</v>
      </c>
      <c r="X293" s="1"/>
      <c r="Y293" s="1"/>
      <c r="Z293" s="1"/>
      <c r="AA293" s="1"/>
      <c r="AB293" s="1">
        <f>[45]Suku_etal_2013_Fig4d!B5</f>
        <v>7.7010309278350493E-8</v>
      </c>
      <c r="AC293" s="1"/>
      <c r="AD293" s="2">
        <f>[46]Suku_etal_2013_Fig3a!B5</f>
        <v>63.743842364532</v>
      </c>
      <c r="AF293" s="2"/>
      <c r="AG293" s="2"/>
      <c r="AI293" s="5">
        <f>[47]Suku_etal_2013_Fig3c!B5</f>
        <v>1.3611111111110999E-2</v>
      </c>
      <c r="AK293" t="s">
        <v>348</v>
      </c>
    </row>
    <row r="294" spans="1:37" hidden="1" x14ac:dyDescent="0.25">
      <c r="A294" t="s">
        <v>245</v>
      </c>
      <c r="B294" t="s">
        <v>53</v>
      </c>
      <c r="C294" t="s">
        <v>54</v>
      </c>
      <c r="D294" t="s">
        <v>16</v>
      </c>
      <c r="E294" t="s">
        <v>17</v>
      </c>
      <c r="F294" t="s">
        <v>18</v>
      </c>
      <c r="G294" t="s">
        <v>18</v>
      </c>
      <c r="H294" t="s">
        <v>18</v>
      </c>
      <c r="I294" t="s">
        <v>704</v>
      </c>
      <c r="J294">
        <f t="shared" ref="J294:J301" si="45">3*7</f>
        <v>21</v>
      </c>
      <c r="K294" t="s">
        <v>642</v>
      </c>
      <c r="L294" t="s">
        <v>36</v>
      </c>
      <c r="M294" t="str">
        <f t="shared" ref="M294:M320" si="46">+IF(L294 = "Control", "Control", "Stress")</f>
        <v>Control</v>
      </c>
      <c r="N294" t="s">
        <v>640</v>
      </c>
      <c r="O294" t="s">
        <v>707</v>
      </c>
      <c r="P294" t="s">
        <v>434</v>
      </c>
      <c r="Q294" t="s">
        <v>707</v>
      </c>
      <c r="R294" t="s">
        <v>408</v>
      </c>
      <c r="S294" t="s">
        <v>701</v>
      </c>
      <c r="T294" t="s">
        <v>695</v>
      </c>
      <c r="U294" t="s">
        <v>609</v>
      </c>
      <c r="X294" s="1"/>
      <c r="AB294" s="1">
        <f>[48]Yang_etal_2012_Fig5!C2</f>
        <v>2.5640018534053501E-8</v>
      </c>
      <c r="AF294">
        <v>0.4</v>
      </c>
      <c r="AK294" t="s">
        <v>44</v>
      </c>
    </row>
    <row r="295" spans="1:37" hidden="1" x14ac:dyDescent="0.25">
      <c r="A295" t="s">
        <v>245</v>
      </c>
      <c r="B295" t="s">
        <v>53</v>
      </c>
      <c r="C295" t="s">
        <v>54</v>
      </c>
      <c r="D295" t="s">
        <v>16</v>
      </c>
      <c r="E295" t="s">
        <v>17</v>
      </c>
      <c r="F295" t="s">
        <v>18</v>
      </c>
      <c r="G295" t="s">
        <v>18</v>
      </c>
      <c r="H295" t="s">
        <v>18</v>
      </c>
      <c r="I295" t="s">
        <v>704</v>
      </c>
      <c r="J295">
        <f t="shared" si="45"/>
        <v>21</v>
      </c>
      <c r="K295" t="s">
        <v>642</v>
      </c>
      <c r="L295" t="s">
        <v>36</v>
      </c>
      <c r="M295" t="str">
        <f t="shared" si="46"/>
        <v>Control</v>
      </c>
      <c r="N295" t="s">
        <v>641</v>
      </c>
      <c r="O295" t="s">
        <v>707</v>
      </c>
      <c r="P295" t="s">
        <v>434</v>
      </c>
      <c r="Q295" t="s">
        <v>707</v>
      </c>
      <c r="R295" t="s">
        <v>408</v>
      </c>
      <c r="S295" t="s">
        <v>701</v>
      </c>
      <c r="T295" t="s">
        <v>695</v>
      </c>
      <c r="U295" t="s">
        <v>609</v>
      </c>
      <c r="X295" s="1"/>
      <c r="AB295" s="1">
        <f>[48]Yang_etal_2012_Fig5!C3</f>
        <v>1.9322722826984301E-8</v>
      </c>
      <c r="AF295">
        <v>0.41</v>
      </c>
      <c r="AK295" t="s">
        <v>44</v>
      </c>
    </row>
    <row r="296" spans="1:37" hidden="1" x14ac:dyDescent="0.25">
      <c r="A296" t="s">
        <v>245</v>
      </c>
      <c r="B296" t="s">
        <v>53</v>
      </c>
      <c r="C296" t="s">
        <v>54</v>
      </c>
      <c r="D296" t="s">
        <v>16</v>
      </c>
      <c r="E296" t="s">
        <v>17</v>
      </c>
      <c r="F296" t="s">
        <v>18</v>
      </c>
      <c r="G296" t="s">
        <v>18</v>
      </c>
      <c r="H296" t="s">
        <v>18</v>
      </c>
      <c r="I296" t="s">
        <v>704</v>
      </c>
      <c r="J296">
        <f t="shared" si="45"/>
        <v>21</v>
      </c>
      <c r="K296" t="s">
        <v>642</v>
      </c>
      <c r="L296" t="s">
        <v>48</v>
      </c>
      <c r="M296" t="str">
        <f t="shared" si="46"/>
        <v>Stress</v>
      </c>
      <c r="N296" t="s">
        <v>640</v>
      </c>
      <c r="O296" t="s">
        <v>707</v>
      </c>
      <c r="P296" t="s">
        <v>434</v>
      </c>
      <c r="Q296" t="s">
        <v>707</v>
      </c>
      <c r="R296" t="s">
        <v>408</v>
      </c>
      <c r="S296" t="s">
        <v>701</v>
      </c>
      <c r="T296" t="s">
        <v>695</v>
      </c>
      <c r="U296" t="s">
        <v>609</v>
      </c>
      <c r="X296" s="1"/>
      <c r="AB296" s="1">
        <f>[48]Yang_etal_2012_Fig5!C4</f>
        <v>2.2618101008488002E-8</v>
      </c>
      <c r="AF296">
        <v>0.48</v>
      </c>
      <c r="AK296" t="s">
        <v>44</v>
      </c>
    </row>
    <row r="297" spans="1:37" hidden="1" x14ac:dyDescent="0.25">
      <c r="A297" t="s">
        <v>245</v>
      </c>
      <c r="B297" t="s">
        <v>53</v>
      </c>
      <c r="C297" t="s">
        <v>54</v>
      </c>
      <c r="D297" t="s">
        <v>16</v>
      </c>
      <c r="E297" t="s">
        <v>17</v>
      </c>
      <c r="F297" t="s">
        <v>18</v>
      </c>
      <c r="G297" t="s">
        <v>18</v>
      </c>
      <c r="H297" t="s">
        <v>18</v>
      </c>
      <c r="I297" t="s">
        <v>704</v>
      </c>
      <c r="J297">
        <f t="shared" si="45"/>
        <v>21</v>
      </c>
      <c r="K297" t="s">
        <v>642</v>
      </c>
      <c r="L297" t="s">
        <v>48</v>
      </c>
      <c r="M297" t="str">
        <f t="shared" si="46"/>
        <v>Stress</v>
      </c>
      <c r="N297" t="s">
        <v>641</v>
      </c>
      <c r="O297" t="s">
        <v>707</v>
      </c>
      <c r="P297" t="s">
        <v>434</v>
      </c>
      <c r="Q297" t="s">
        <v>707</v>
      </c>
      <c r="R297" t="s">
        <v>408</v>
      </c>
      <c r="S297" t="s">
        <v>701</v>
      </c>
      <c r="T297" t="s">
        <v>695</v>
      </c>
      <c r="U297" t="s">
        <v>609</v>
      </c>
      <c r="X297" s="1"/>
      <c r="AB297" s="1">
        <f>[48]Yang_etal_2012_Fig5!C5</f>
        <v>1.42913730115071E-8</v>
      </c>
      <c r="AF297">
        <v>0.46</v>
      </c>
      <c r="AK297" t="s">
        <v>44</v>
      </c>
    </row>
    <row r="298" spans="1:37" hidden="1" x14ac:dyDescent="0.25">
      <c r="A298" t="s">
        <v>245</v>
      </c>
      <c r="B298" t="s">
        <v>53</v>
      </c>
      <c r="C298" t="s">
        <v>54</v>
      </c>
      <c r="D298" t="s">
        <v>16</v>
      </c>
      <c r="E298" t="s">
        <v>17</v>
      </c>
      <c r="F298" t="s">
        <v>18</v>
      </c>
      <c r="G298" t="s">
        <v>18</v>
      </c>
      <c r="H298" t="s">
        <v>18</v>
      </c>
      <c r="I298" t="s">
        <v>704</v>
      </c>
      <c r="J298">
        <f t="shared" si="45"/>
        <v>21</v>
      </c>
      <c r="K298" t="s">
        <v>642</v>
      </c>
      <c r="L298" t="s">
        <v>36</v>
      </c>
      <c r="M298" t="str">
        <f t="shared" si="46"/>
        <v>Control</v>
      </c>
      <c r="N298" t="s">
        <v>640</v>
      </c>
      <c r="O298" t="s">
        <v>707</v>
      </c>
      <c r="P298" t="s">
        <v>435</v>
      </c>
      <c r="Q298" t="s">
        <v>707</v>
      </c>
      <c r="R298" t="s">
        <v>408</v>
      </c>
      <c r="S298" t="s">
        <v>701</v>
      </c>
      <c r="T298" t="s">
        <v>695</v>
      </c>
      <c r="U298" t="s">
        <v>609</v>
      </c>
      <c r="X298" s="1"/>
      <c r="AB298" s="1">
        <f>[48]Yang_etal_2012_Fig5!C6</f>
        <v>3.18396484052485E-8</v>
      </c>
      <c r="AF298">
        <v>0.25</v>
      </c>
      <c r="AK298" t="s">
        <v>44</v>
      </c>
    </row>
    <row r="299" spans="1:37" hidden="1" x14ac:dyDescent="0.25">
      <c r="A299" t="s">
        <v>245</v>
      </c>
      <c r="B299" t="s">
        <v>53</v>
      </c>
      <c r="C299" t="s">
        <v>54</v>
      </c>
      <c r="D299" t="s">
        <v>16</v>
      </c>
      <c r="E299" t="s">
        <v>17</v>
      </c>
      <c r="F299" t="s">
        <v>18</v>
      </c>
      <c r="G299" t="s">
        <v>18</v>
      </c>
      <c r="H299" t="s">
        <v>18</v>
      </c>
      <c r="I299" t="s">
        <v>704</v>
      </c>
      <c r="J299">
        <f t="shared" si="45"/>
        <v>21</v>
      </c>
      <c r="K299" t="s">
        <v>642</v>
      </c>
      <c r="L299" t="s">
        <v>36</v>
      </c>
      <c r="M299" t="str">
        <f t="shared" si="46"/>
        <v>Control</v>
      </c>
      <c r="N299" t="s">
        <v>641</v>
      </c>
      <c r="O299" t="s">
        <v>707</v>
      </c>
      <c r="P299" t="s">
        <v>435</v>
      </c>
      <c r="Q299" t="s">
        <v>707</v>
      </c>
      <c r="R299" t="s">
        <v>408</v>
      </c>
      <c r="S299" t="s">
        <v>701</v>
      </c>
      <c r="T299" t="s">
        <v>695</v>
      </c>
      <c r="U299" t="s">
        <v>609</v>
      </c>
      <c r="X299" s="1"/>
      <c r="AB299" s="1">
        <f>[48]Yang_etal_2012_Fig5!C7</f>
        <v>2.4413987577324103E-8</v>
      </c>
      <c r="AF299">
        <v>0.25</v>
      </c>
      <c r="AK299" t="s">
        <v>44</v>
      </c>
    </row>
    <row r="300" spans="1:37" hidden="1" x14ac:dyDescent="0.25">
      <c r="A300" t="s">
        <v>245</v>
      </c>
      <c r="B300" t="s">
        <v>53</v>
      </c>
      <c r="C300" t="s">
        <v>54</v>
      </c>
      <c r="D300" t="s">
        <v>16</v>
      </c>
      <c r="E300" t="s">
        <v>17</v>
      </c>
      <c r="F300" t="s">
        <v>18</v>
      </c>
      <c r="G300" t="s">
        <v>18</v>
      </c>
      <c r="H300" t="s">
        <v>18</v>
      </c>
      <c r="I300" t="s">
        <v>704</v>
      </c>
      <c r="J300">
        <f t="shared" si="45"/>
        <v>21</v>
      </c>
      <c r="K300" t="s">
        <v>642</v>
      </c>
      <c r="L300" t="s">
        <v>48</v>
      </c>
      <c r="M300" t="str">
        <f t="shared" si="46"/>
        <v>Stress</v>
      </c>
      <c r="N300" t="s">
        <v>640</v>
      </c>
      <c r="O300" t="s">
        <v>707</v>
      </c>
      <c r="P300" t="s">
        <v>435</v>
      </c>
      <c r="Q300" t="s">
        <v>707</v>
      </c>
      <c r="R300" t="s">
        <v>408</v>
      </c>
      <c r="S300" t="s">
        <v>701</v>
      </c>
      <c r="T300" t="s">
        <v>695</v>
      </c>
      <c r="U300" t="s">
        <v>609</v>
      </c>
      <c r="X300" s="1"/>
      <c r="AB300" s="1">
        <f>[48]Yang_etal_2012_Fig5!C8</f>
        <v>2.9865738564914198E-8</v>
      </c>
      <c r="AF300">
        <v>0.28999999999999998</v>
      </c>
      <c r="AK300" t="s">
        <v>44</v>
      </c>
    </row>
    <row r="301" spans="1:37" hidden="1" x14ac:dyDescent="0.25">
      <c r="A301" t="s">
        <v>245</v>
      </c>
      <c r="B301" t="s">
        <v>53</v>
      </c>
      <c r="C301" t="s">
        <v>54</v>
      </c>
      <c r="D301" t="s">
        <v>16</v>
      </c>
      <c r="E301" t="s">
        <v>17</v>
      </c>
      <c r="F301" t="s">
        <v>18</v>
      </c>
      <c r="G301" t="s">
        <v>18</v>
      </c>
      <c r="H301" t="s">
        <v>18</v>
      </c>
      <c r="I301" t="s">
        <v>704</v>
      </c>
      <c r="J301">
        <f t="shared" si="45"/>
        <v>21</v>
      </c>
      <c r="K301" t="s">
        <v>642</v>
      </c>
      <c r="L301" t="s">
        <v>48</v>
      </c>
      <c r="M301" t="str">
        <f t="shared" si="46"/>
        <v>Stress</v>
      </c>
      <c r="N301" t="s">
        <v>641</v>
      </c>
      <c r="O301" t="s">
        <v>707</v>
      </c>
      <c r="P301" t="s">
        <v>435</v>
      </c>
      <c r="Q301" t="s">
        <v>707</v>
      </c>
      <c r="R301" t="s">
        <v>408</v>
      </c>
      <c r="S301" t="s">
        <v>701</v>
      </c>
      <c r="T301" t="s">
        <v>695</v>
      </c>
      <c r="U301" t="s">
        <v>609</v>
      </c>
      <c r="X301" s="1"/>
      <c r="AB301" s="1">
        <f>[48]Yang_etal_2012_Fig5!C9</f>
        <v>1.9925093768882999E-8</v>
      </c>
      <c r="AF301">
        <v>0.32</v>
      </c>
      <c r="AK301" t="s">
        <v>44</v>
      </c>
    </row>
    <row r="302" spans="1:37" hidden="1" x14ac:dyDescent="0.25">
      <c r="A302" t="s">
        <v>70</v>
      </c>
      <c r="B302" t="s">
        <v>41</v>
      </c>
      <c r="C302" t="s">
        <v>42</v>
      </c>
      <c r="D302" t="s">
        <v>43</v>
      </c>
      <c r="E302" t="s">
        <v>17</v>
      </c>
      <c r="F302" t="s">
        <v>613</v>
      </c>
      <c r="G302" t="s">
        <v>613</v>
      </c>
      <c r="H302" t="s">
        <v>613</v>
      </c>
      <c r="I302" t="s">
        <v>804</v>
      </c>
      <c r="K302" t="s">
        <v>629</v>
      </c>
      <c r="L302" t="s">
        <v>36</v>
      </c>
      <c r="M302" t="str">
        <f t="shared" si="46"/>
        <v>Control</v>
      </c>
      <c r="R302" t="s">
        <v>408</v>
      </c>
      <c r="S302" t="s">
        <v>701</v>
      </c>
      <c r="T302" t="s">
        <v>695</v>
      </c>
      <c r="U302" t="s">
        <v>609</v>
      </c>
      <c r="V302" s="1" t="s">
        <v>774</v>
      </c>
      <c r="W302" s="1">
        <f>[49]Perrone_etal_2012_Fig7a!C2</f>
        <v>5.4733785234668521E-9</v>
      </c>
      <c r="X302" s="1"/>
      <c r="Y302" s="1"/>
      <c r="Z302" s="1"/>
      <c r="AA302" s="1"/>
      <c r="AC302" s="1"/>
      <c r="AD302" s="3"/>
      <c r="AF302" s="2">
        <f>[50]Perrone_etal_2012_Fig6!B2</f>
        <v>7.4046822742474898</v>
      </c>
      <c r="AG302" s="2"/>
      <c r="AK302" t="s">
        <v>44</v>
      </c>
    </row>
    <row r="303" spans="1:37" hidden="1" x14ac:dyDescent="0.25">
      <c r="A303" t="s">
        <v>70</v>
      </c>
      <c r="B303" t="s">
        <v>41</v>
      </c>
      <c r="C303" t="s">
        <v>42</v>
      </c>
      <c r="D303" t="s">
        <v>43</v>
      </c>
      <c r="E303" t="s">
        <v>17</v>
      </c>
      <c r="F303" t="s">
        <v>613</v>
      </c>
      <c r="G303" t="s">
        <v>613</v>
      </c>
      <c r="H303" t="s">
        <v>613</v>
      </c>
      <c r="I303" t="s">
        <v>804</v>
      </c>
      <c r="K303" t="s">
        <v>629</v>
      </c>
      <c r="L303" t="s">
        <v>702</v>
      </c>
      <c r="M303" t="str">
        <f t="shared" si="46"/>
        <v>Stress</v>
      </c>
      <c r="R303" t="s">
        <v>408</v>
      </c>
      <c r="S303" t="s">
        <v>701</v>
      </c>
      <c r="T303" t="s">
        <v>695</v>
      </c>
      <c r="U303" t="s">
        <v>609</v>
      </c>
      <c r="V303" s="1" t="s">
        <v>774</v>
      </c>
      <c r="W303" s="1">
        <f>[49]Perrone_etal_2012_Fig7a!C3</f>
        <v>6.6394861936906892E-9</v>
      </c>
      <c r="X303" s="1"/>
      <c r="Y303" s="1"/>
      <c r="Z303" s="1"/>
      <c r="AA303" s="1"/>
      <c r="AC303" s="1"/>
      <c r="AD303" s="3"/>
      <c r="AF303" s="2">
        <f>[50]Perrone_etal_2012_Fig6!B3</f>
        <v>4.6354515050167198</v>
      </c>
      <c r="AG303" s="2"/>
      <c r="AK303" t="s">
        <v>44</v>
      </c>
    </row>
    <row r="304" spans="1:37" hidden="1" x14ac:dyDescent="0.25">
      <c r="A304" t="s">
        <v>70</v>
      </c>
      <c r="B304" t="s">
        <v>41</v>
      </c>
      <c r="C304" t="s">
        <v>42</v>
      </c>
      <c r="D304" t="s">
        <v>43</v>
      </c>
      <c r="E304" t="s">
        <v>17</v>
      </c>
      <c r="F304" t="s">
        <v>613</v>
      </c>
      <c r="G304" t="s">
        <v>613</v>
      </c>
      <c r="H304" t="s">
        <v>613</v>
      </c>
      <c r="I304" t="s">
        <v>804</v>
      </c>
      <c r="K304" t="s">
        <v>629</v>
      </c>
      <c r="L304" t="s">
        <v>702</v>
      </c>
      <c r="M304" t="str">
        <f t="shared" si="46"/>
        <v>Stress</v>
      </c>
      <c r="R304" t="s">
        <v>408</v>
      </c>
      <c r="S304" t="s">
        <v>701</v>
      </c>
      <c r="T304" t="s">
        <v>695</v>
      </c>
      <c r="U304" t="s">
        <v>609</v>
      </c>
      <c r="V304" s="1" t="s">
        <v>774</v>
      </c>
      <c r="W304" s="1">
        <f>[49]Perrone_etal_2012_Fig7a!C4</f>
        <v>1.497657158607338E-8</v>
      </c>
      <c r="X304" s="1"/>
      <c r="Y304" s="1"/>
      <c r="Z304" s="1"/>
      <c r="AA304" s="1"/>
      <c r="AC304" s="1"/>
      <c r="AD304" s="3"/>
      <c r="AF304" s="2">
        <f>[50]Perrone_etal_2012_Fig6!B4</f>
        <v>7.3444816053511701</v>
      </c>
      <c r="AG304" s="2"/>
      <c r="AK304" t="s">
        <v>44</v>
      </c>
    </row>
    <row r="305" spans="1:37" hidden="1" x14ac:dyDescent="0.25">
      <c r="A305" t="s">
        <v>70</v>
      </c>
      <c r="B305" t="s">
        <v>41</v>
      </c>
      <c r="C305" t="s">
        <v>42</v>
      </c>
      <c r="D305" t="s">
        <v>43</v>
      </c>
      <c r="E305" t="s">
        <v>17</v>
      </c>
      <c r="F305" t="s">
        <v>613</v>
      </c>
      <c r="G305" t="s">
        <v>613</v>
      </c>
      <c r="H305" t="s">
        <v>613</v>
      </c>
      <c r="I305" t="s">
        <v>804</v>
      </c>
      <c r="K305" t="s">
        <v>629</v>
      </c>
      <c r="L305" t="s">
        <v>702</v>
      </c>
      <c r="M305" t="str">
        <f t="shared" si="46"/>
        <v>Stress</v>
      </c>
      <c r="R305" t="s">
        <v>408</v>
      </c>
      <c r="S305" t="s">
        <v>701</v>
      </c>
      <c r="T305" t="s">
        <v>695</v>
      </c>
      <c r="U305" t="s">
        <v>609</v>
      </c>
      <c r="V305" s="1" t="s">
        <v>774</v>
      </c>
      <c r="W305" s="1">
        <f>[49]Perrone_etal_2012_Fig7a!C5</f>
        <v>1.6861409444230002E-8</v>
      </c>
      <c r="X305" s="1"/>
      <c r="Y305" s="1"/>
      <c r="Z305" s="1"/>
      <c r="AA305" s="1"/>
      <c r="AC305" s="1"/>
      <c r="AD305" s="3"/>
      <c r="AF305" s="2">
        <f>[50]Perrone_etal_2012_Fig6!B5</f>
        <v>8.6688963210702301</v>
      </c>
      <c r="AG305" s="2"/>
      <c r="AK305" t="s">
        <v>44</v>
      </c>
    </row>
    <row r="306" spans="1:37" hidden="1" x14ac:dyDescent="0.25">
      <c r="A306" t="s">
        <v>70</v>
      </c>
      <c r="B306" t="s">
        <v>41</v>
      </c>
      <c r="C306" t="s">
        <v>42</v>
      </c>
      <c r="D306" t="s">
        <v>43</v>
      </c>
      <c r="E306" t="s">
        <v>17</v>
      </c>
      <c r="F306" t="s">
        <v>613</v>
      </c>
      <c r="G306" t="s">
        <v>613</v>
      </c>
      <c r="H306" t="s">
        <v>613</v>
      </c>
      <c r="I306" t="s">
        <v>804</v>
      </c>
      <c r="K306" t="s">
        <v>629</v>
      </c>
      <c r="L306" t="s">
        <v>702</v>
      </c>
      <c r="M306" t="str">
        <f t="shared" si="46"/>
        <v>Stress</v>
      </c>
      <c r="R306" t="s">
        <v>408</v>
      </c>
      <c r="S306" t="s">
        <v>701</v>
      </c>
      <c r="T306" t="s">
        <v>695</v>
      </c>
      <c r="U306" t="s">
        <v>609</v>
      </c>
      <c r="V306" s="1" t="s">
        <v>774</v>
      </c>
      <c r="W306" s="1">
        <f>[49]Perrone_etal_2012_Fig7a!C6</f>
        <v>1.7742893779020256E-8</v>
      </c>
      <c r="X306" s="1"/>
      <c r="Y306" s="1"/>
      <c r="Z306" s="1"/>
      <c r="AA306" s="1"/>
      <c r="AC306" s="1"/>
      <c r="AD306" s="3"/>
      <c r="AF306" s="2">
        <f>[50]Perrone_etal_2012_Fig6!B6</f>
        <v>7.2842809364548398</v>
      </c>
      <c r="AG306" s="2"/>
      <c r="AK306" t="s">
        <v>44</v>
      </c>
    </row>
    <row r="307" spans="1:37" hidden="1" x14ac:dyDescent="0.25">
      <c r="A307" t="s">
        <v>70</v>
      </c>
      <c r="B307" t="s">
        <v>41</v>
      </c>
      <c r="C307" t="s">
        <v>42</v>
      </c>
      <c r="D307" t="s">
        <v>43</v>
      </c>
      <c r="E307" t="s">
        <v>17</v>
      </c>
      <c r="F307" t="s">
        <v>613</v>
      </c>
      <c r="G307" t="s">
        <v>613</v>
      </c>
      <c r="H307" t="s">
        <v>613</v>
      </c>
      <c r="I307" t="s">
        <v>804</v>
      </c>
      <c r="K307" t="s">
        <v>629</v>
      </c>
      <c r="L307" t="s">
        <v>702</v>
      </c>
      <c r="M307" t="str">
        <f t="shared" si="46"/>
        <v>Stress</v>
      </c>
      <c r="R307" t="s">
        <v>408</v>
      </c>
      <c r="S307" t="s">
        <v>701</v>
      </c>
      <c r="T307" t="s">
        <v>695</v>
      </c>
      <c r="U307" t="s">
        <v>609</v>
      </c>
      <c r="V307" s="1" t="s">
        <v>774</v>
      </c>
      <c r="W307" s="1">
        <f>[49]Perrone_etal_2012_Fig7a!C7</f>
        <v>2.7662945624775022E-8</v>
      </c>
      <c r="X307" s="1"/>
      <c r="Y307" s="1"/>
      <c r="Z307" s="1"/>
      <c r="AA307" s="1"/>
      <c r="AC307" s="1"/>
      <c r="AD307" s="3"/>
      <c r="AF307" s="2">
        <f>[50]Perrone_etal_2012_Fig6!B7</f>
        <v>9.3311036789297592</v>
      </c>
      <c r="AG307" s="2"/>
      <c r="AK307" t="s">
        <v>44</v>
      </c>
    </row>
    <row r="308" spans="1:37" hidden="1" x14ac:dyDescent="0.25">
      <c r="A308" t="s">
        <v>70</v>
      </c>
      <c r="B308" t="s">
        <v>41</v>
      </c>
      <c r="C308" t="s">
        <v>42</v>
      </c>
      <c r="D308" t="s">
        <v>43</v>
      </c>
      <c r="E308" t="s">
        <v>17</v>
      </c>
      <c r="F308" t="s">
        <v>613</v>
      </c>
      <c r="G308" t="s">
        <v>613</v>
      </c>
      <c r="H308" t="s">
        <v>613</v>
      </c>
      <c r="I308" t="s">
        <v>804</v>
      </c>
      <c r="K308" t="s">
        <v>629</v>
      </c>
      <c r="L308" t="s">
        <v>702</v>
      </c>
      <c r="M308" t="str">
        <f t="shared" si="46"/>
        <v>Stress</v>
      </c>
      <c r="R308" t="s">
        <v>408</v>
      </c>
      <c r="S308" t="s">
        <v>701</v>
      </c>
      <c r="T308" t="s">
        <v>695</v>
      </c>
      <c r="U308" t="s">
        <v>609</v>
      </c>
      <c r="V308" s="1" t="s">
        <v>774</v>
      </c>
      <c r="W308" s="1">
        <f>[49]Perrone_etal_2012_Fig7a!C8</f>
        <v>2.3245995721813582E-8</v>
      </c>
      <c r="X308" s="1"/>
      <c r="Y308" s="1"/>
      <c r="Z308" s="1"/>
      <c r="AA308" s="1"/>
      <c r="AC308" s="1"/>
      <c r="AD308" s="3"/>
      <c r="AF308" s="2">
        <f>[50]Perrone_etal_2012_Fig6!B8</f>
        <v>6.3812709030100301</v>
      </c>
      <c r="AG308" s="2"/>
      <c r="AK308" t="s">
        <v>44</v>
      </c>
    </row>
    <row r="309" spans="1:37" hidden="1" x14ac:dyDescent="0.25">
      <c r="A309" t="s">
        <v>547</v>
      </c>
      <c r="B309" t="s">
        <v>53</v>
      </c>
      <c r="C309" t="s">
        <v>54</v>
      </c>
      <c r="D309" t="s">
        <v>16</v>
      </c>
      <c r="E309" t="s">
        <v>17</v>
      </c>
      <c r="F309" t="s">
        <v>18</v>
      </c>
      <c r="G309" t="s">
        <v>18</v>
      </c>
      <c r="H309" t="s">
        <v>18</v>
      </c>
      <c r="I309" t="s">
        <v>704</v>
      </c>
      <c r="J309">
        <v>21</v>
      </c>
      <c r="K309" t="s">
        <v>693</v>
      </c>
      <c r="L309" t="s">
        <v>36</v>
      </c>
      <c r="M309" t="str">
        <f t="shared" si="46"/>
        <v>Control</v>
      </c>
      <c r="N309" t="s">
        <v>425</v>
      </c>
      <c r="O309" t="s">
        <v>707</v>
      </c>
      <c r="P309" t="s">
        <v>487</v>
      </c>
      <c r="Q309" t="s">
        <v>707</v>
      </c>
      <c r="R309" t="s">
        <v>408</v>
      </c>
      <c r="S309" t="s">
        <v>701</v>
      </c>
      <c r="T309" t="s">
        <v>695</v>
      </c>
      <c r="U309" t="s">
        <v>609</v>
      </c>
      <c r="V309" s="1"/>
      <c r="W309" s="1"/>
      <c r="X309" s="1"/>
      <c r="Y309" s="1"/>
      <c r="Z309" s="1"/>
      <c r="AA309" s="1"/>
      <c r="AB309" s="1">
        <f>+AVERAGE([51]Henry_etal_2012_Fig3ab!B2,[52]Henry_etal_2012_Fig3cd!B2)</f>
        <v>3.8593391475495401E-8</v>
      </c>
      <c r="AC309" s="1"/>
      <c r="AD309" s="3"/>
      <c r="AF309" s="2"/>
      <c r="AG309" s="2"/>
      <c r="AK309" t="s">
        <v>199</v>
      </c>
    </row>
    <row r="310" spans="1:37" hidden="1" x14ac:dyDescent="0.25">
      <c r="A310" t="s">
        <v>547</v>
      </c>
      <c r="B310" t="s">
        <v>53</v>
      </c>
      <c r="C310" t="s">
        <v>54</v>
      </c>
      <c r="D310" t="s">
        <v>16</v>
      </c>
      <c r="E310" t="s">
        <v>17</v>
      </c>
      <c r="F310" t="s">
        <v>18</v>
      </c>
      <c r="G310" t="s">
        <v>18</v>
      </c>
      <c r="H310" t="s">
        <v>18</v>
      </c>
      <c r="I310" t="s">
        <v>704</v>
      </c>
      <c r="J310">
        <v>21</v>
      </c>
      <c r="K310" t="s">
        <v>693</v>
      </c>
      <c r="L310" t="s">
        <v>36</v>
      </c>
      <c r="M310" t="str">
        <f t="shared" si="46"/>
        <v>Control</v>
      </c>
      <c r="N310" t="s">
        <v>425</v>
      </c>
      <c r="O310" t="s">
        <v>707</v>
      </c>
      <c r="P310" t="s">
        <v>493</v>
      </c>
      <c r="Q310" t="s">
        <v>707</v>
      </c>
      <c r="R310" t="s">
        <v>408</v>
      </c>
      <c r="S310" t="s">
        <v>701</v>
      </c>
      <c r="T310" t="s">
        <v>695</v>
      </c>
      <c r="U310" t="s">
        <v>609</v>
      </c>
      <c r="V310" s="1"/>
      <c r="W310" s="1"/>
      <c r="X310" s="1"/>
      <c r="Y310" s="1"/>
      <c r="Z310" s="1"/>
      <c r="AA310" s="1"/>
      <c r="AB310" s="1">
        <f>+AVERAGE([51]Henry_etal_2012_Fig3ab!B3,[52]Henry_etal_2012_Fig3cd!B3)</f>
        <v>3.4527456857812754E-8</v>
      </c>
      <c r="AC310" s="1"/>
      <c r="AD310" s="3"/>
      <c r="AF310" s="2"/>
      <c r="AG310" s="2"/>
      <c r="AK310" t="s">
        <v>199</v>
      </c>
    </row>
    <row r="311" spans="1:37" hidden="1" x14ac:dyDescent="0.25">
      <c r="A311" t="s">
        <v>547</v>
      </c>
      <c r="B311" t="s">
        <v>53</v>
      </c>
      <c r="C311" t="s">
        <v>54</v>
      </c>
      <c r="D311" t="s">
        <v>16</v>
      </c>
      <c r="E311" t="s">
        <v>17</v>
      </c>
      <c r="F311" t="s">
        <v>18</v>
      </c>
      <c r="G311" t="s">
        <v>18</v>
      </c>
      <c r="H311" t="s">
        <v>18</v>
      </c>
      <c r="I311" t="s">
        <v>704</v>
      </c>
      <c r="J311">
        <v>21</v>
      </c>
      <c r="K311" t="s">
        <v>693</v>
      </c>
      <c r="L311" t="s">
        <v>36</v>
      </c>
      <c r="M311" t="str">
        <f t="shared" si="46"/>
        <v>Control</v>
      </c>
      <c r="N311" t="s">
        <v>425</v>
      </c>
      <c r="O311" t="s">
        <v>707</v>
      </c>
      <c r="P311" t="s">
        <v>489</v>
      </c>
      <c r="Q311" t="s">
        <v>707</v>
      </c>
      <c r="R311" t="s">
        <v>408</v>
      </c>
      <c r="S311" t="s">
        <v>701</v>
      </c>
      <c r="T311" t="s">
        <v>695</v>
      </c>
      <c r="U311" t="s">
        <v>609</v>
      </c>
      <c r="V311" s="1"/>
      <c r="W311" s="1"/>
      <c r="X311" s="1"/>
      <c r="Y311" s="1"/>
      <c r="Z311" s="1"/>
      <c r="AA311" s="1"/>
      <c r="AB311" s="1">
        <f>+AVERAGE([51]Henry_etal_2012_Fig3ab!B4,[52]Henry_etal_2012_Fig3cd!B4)</f>
        <v>1.438315584409062E-8</v>
      </c>
      <c r="AC311" s="1"/>
      <c r="AD311" s="3"/>
      <c r="AF311" s="2"/>
      <c r="AG311" s="2"/>
      <c r="AK311" t="s">
        <v>199</v>
      </c>
    </row>
    <row r="312" spans="1:37" hidden="1" x14ac:dyDescent="0.25">
      <c r="A312" t="s">
        <v>547</v>
      </c>
      <c r="B312" t="s">
        <v>53</v>
      </c>
      <c r="C312" t="s">
        <v>54</v>
      </c>
      <c r="D312" t="s">
        <v>16</v>
      </c>
      <c r="E312" t="s">
        <v>17</v>
      </c>
      <c r="F312" t="s">
        <v>18</v>
      </c>
      <c r="G312" t="s">
        <v>18</v>
      </c>
      <c r="H312" t="s">
        <v>18</v>
      </c>
      <c r="I312" t="s">
        <v>704</v>
      </c>
      <c r="J312">
        <v>21</v>
      </c>
      <c r="K312" t="s">
        <v>693</v>
      </c>
      <c r="L312" t="s">
        <v>36</v>
      </c>
      <c r="M312" t="str">
        <f t="shared" si="46"/>
        <v>Control</v>
      </c>
      <c r="N312" t="s">
        <v>426</v>
      </c>
      <c r="O312" t="s">
        <v>707</v>
      </c>
      <c r="P312" t="s">
        <v>487</v>
      </c>
      <c r="Q312" t="s">
        <v>707</v>
      </c>
      <c r="R312" t="s">
        <v>408</v>
      </c>
      <c r="S312" t="s">
        <v>701</v>
      </c>
      <c r="T312" t="s">
        <v>695</v>
      </c>
      <c r="U312" t="s">
        <v>609</v>
      </c>
      <c r="V312" s="1"/>
      <c r="W312" s="1"/>
      <c r="X312" s="1"/>
      <c r="Y312" s="1"/>
      <c r="Z312" s="1"/>
      <c r="AA312" s="1"/>
      <c r="AB312" s="1">
        <f>+AVERAGE([51]Henry_etal_2012_Fig3ab!B5,[52]Henry_etal_2012_Fig3cd!B5)</f>
        <v>2.4337314916627724E-8</v>
      </c>
      <c r="AC312" s="1"/>
      <c r="AD312" s="3"/>
      <c r="AF312" s="2"/>
      <c r="AG312" s="2"/>
      <c r="AK312" t="s">
        <v>199</v>
      </c>
    </row>
    <row r="313" spans="1:37" hidden="1" x14ac:dyDescent="0.25">
      <c r="A313" t="s">
        <v>547</v>
      </c>
      <c r="B313" t="s">
        <v>53</v>
      </c>
      <c r="C313" t="s">
        <v>54</v>
      </c>
      <c r="D313" t="s">
        <v>16</v>
      </c>
      <c r="E313" t="s">
        <v>17</v>
      </c>
      <c r="F313" t="s">
        <v>18</v>
      </c>
      <c r="G313" t="s">
        <v>18</v>
      </c>
      <c r="H313" t="s">
        <v>18</v>
      </c>
      <c r="I313" t="s">
        <v>704</v>
      </c>
      <c r="J313">
        <v>21</v>
      </c>
      <c r="K313" t="s">
        <v>693</v>
      </c>
      <c r="L313" t="s">
        <v>36</v>
      </c>
      <c r="M313" t="str">
        <f t="shared" si="46"/>
        <v>Control</v>
      </c>
      <c r="N313" t="s">
        <v>426</v>
      </c>
      <c r="O313" t="s">
        <v>707</v>
      </c>
      <c r="P313" t="s">
        <v>493</v>
      </c>
      <c r="Q313" t="s">
        <v>707</v>
      </c>
      <c r="R313" t="s">
        <v>408</v>
      </c>
      <c r="S313" t="s">
        <v>701</v>
      </c>
      <c r="T313" t="s">
        <v>695</v>
      </c>
      <c r="U313" t="s">
        <v>609</v>
      </c>
      <c r="V313" s="1"/>
      <c r="W313" s="1"/>
      <c r="X313" s="1"/>
      <c r="Y313" s="1"/>
      <c r="Z313" s="1"/>
      <c r="AA313" s="1"/>
      <c r="AB313" s="1">
        <f>+AVERAGE([51]Henry_etal_2012_Fig3ab!B6,[52]Henry_etal_2012_Fig3cd!B6)</f>
        <v>2.9156587185628099E-8</v>
      </c>
      <c r="AC313" s="1"/>
      <c r="AD313" s="3"/>
      <c r="AF313" s="2"/>
      <c r="AG313" s="2"/>
      <c r="AK313" t="s">
        <v>199</v>
      </c>
    </row>
    <row r="314" spans="1:37" hidden="1" x14ac:dyDescent="0.25">
      <c r="A314" t="s">
        <v>547</v>
      </c>
      <c r="B314" t="s">
        <v>53</v>
      </c>
      <c r="C314" t="s">
        <v>54</v>
      </c>
      <c r="D314" t="s">
        <v>16</v>
      </c>
      <c r="E314" t="s">
        <v>17</v>
      </c>
      <c r="F314" t="s">
        <v>18</v>
      </c>
      <c r="G314" t="s">
        <v>18</v>
      </c>
      <c r="H314" t="s">
        <v>18</v>
      </c>
      <c r="I314" t="s">
        <v>704</v>
      </c>
      <c r="J314">
        <v>21</v>
      </c>
      <c r="K314" t="s">
        <v>693</v>
      </c>
      <c r="L314" t="s">
        <v>36</v>
      </c>
      <c r="M314" t="str">
        <f t="shared" si="46"/>
        <v>Control</v>
      </c>
      <c r="N314" t="s">
        <v>426</v>
      </c>
      <c r="O314" t="s">
        <v>707</v>
      </c>
      <c r="P314" t="s">
        <v>489</v>
      </c>
      <c r="Q314" t="s">
        <v>707</v>
      </c>
      <c r="R314" t="s">
        <v>408</v>
      </c>
      <c r="S314" t="s">
        <v>701</v>
      </c>
      <c r="T314" t="s">
        <v>695</v>
      </c>
      <c r="U314" t="s">
        <v>609</v>
      </c>
      <c r="V314" s="1"/>
      <c r="W314" s="1"/>
      <c r="X314" s="1"/>
      <c r="Y314" s="1"/>
      <c r="Z314" s="1"/>
      <c r="AA314" s="1"/>
      <c r="AB314" s="1">
        <f>+AVERAGE([51]Henry_etal_2012_Fig3ab!B7,[52]Henry_etal_2012_Fig3cd!B7)</f>
        <v>2.5913479642711851E-8</v>
      </c>
      <c r="AC314" s="1"/>
      <c r="AD314" s="3"/>
      <c r="AF314" s="2"/>
      <c r="AG314" s="2"/>
      <c r="AK314" t="s">
        <v>199</v>
      </c>
    </row>
    <row r="315" spans="1:37" hidden="1" x14ac:dyDescent="0.25">
      <c r="A315" t="s">
        <v>547</v>
      </c>
      <c r="B315" t="s">
        <v>53</v>
      </c>
      <c r="C315" t="s">
        <v>54</v>
      </c>
      <c r="D315" t="s">
        <v>16</v>
      </c>
      <c r="E315" t="s">
        <v>17</v>
      </c>
      <c r="F315" t="s">
        <v>18</v>
      </c>
      <c r="G315" t="s">
        <v>18</v>
      </c>
      <c r="H315" t="s">
        <v>18</v>
      </c>
      <c r="I315" t="s">
        <v>704</v>
      </c>
      <c r="J315">
        <v>21</v>
      </c>
      <c r="K315" t="s">
        <v>693</v>
      </c>
      <c r="L315" t="s">
        <v>48</v>
      </c>
      <c r="M315" t="str">
        <f t="shared" si="46"/>
        <v>Stress</v>
      </c>
      <c r="N315" t="s">
        <v>425</v>
      </c>
      <c r="O315" t="s">
        <v>707</v>
      </c>
      <c r="P315" t="s">
        <v>487</v>
      </c>
      <c r="Q315" t="s">
        <v>707</v>
      </c>
      <c r="R315" t="s">
        <v>408</v>
      </c>
      <c r="S315" t="s">
        <v>701</v>
      </c>
      <c r="T315" t="s">
        <v>695</v>
      </c>
      <c r="U315" t="s">
        <v>609</v>
      </c>
      <c r="V315" s="1"/>
      <c r="W315" s="1"/>
      <c r="X315" s="1"/>
      <c r="Y315" s="1"/>
      <c r="Z315" s="1"/>
      <c r="AA315" s="1"/>
      <c r="AB315" s="1">
        <f>+AVERAGE([51]Henry_etal_2012_Fig3ab!B8,[52]Henry_etal_2012_Fig3cd!B8)</f>
        <v>1.62924078788152E-8</v>
      </c>
      <c r="AC315" s="1"/>
      <c r="AD315" s="3"/>
      <c r="AF315" s="2"/>
      <c r="AG315" s="2"/>
      <c r="AK315" t="s">
        <v>199</v>
      </c>
    </row>
    <row r="316" spans="1:37" hidden="1" x14ac:dyDescent="0.25">
      <c r="A316" t="s">
        <v>547</v>
      </c>
      <c r="B316" t="s">
        <v>53</v>
      </c>
      <c r="C316" t="s">
        <v>54</v>
      </c>
      <c r="D316" t="s">
        <v>16</v>
      </c>
      <c r="E316" t="s">
        <v>17</v>
      </c>
      <c r="F316" t="s">
        <v>18</v>
      </c>
      <c r="G316" t="s">
        <v>18</v>
      </c>
      <c r="H316" t="s">
        <v>18</v>
      </c>
      <c r="I316" t="s">
        <v>704</v>
      </c>
      <c r="J316">
        <v>21</v>
      </c>
      <c r="K316" t="s">
        <v>693</v>
      </c>
      <c r="L316" t="s">
        <v>48</v>
      </c>
      <c r="M316" t="str">
        <f t="shared" si="46"/>
        <v>Stress</v>
      </c>
      <c r="N316" t="s">
        <v>425</v>
      </c>
      <c r="O316" t="s">
        <v>707</v>
      </c>
      <c r="P316" t="s">
        <v>493</v>
      </c>
      <c r="Q316" t="s">
        <v>707</v>
      </c>
      <c r="R316" t="s">
        <v>408</v>
      </c>
      <c r="S316" t="s">
        <v>701</v>
      </c>
      <c r="T316" t="s">
        <v>695</v>
      </c>
      <c r="U316" t="s">
        <v>609</v>
      </c>
      <c r="V316" s="1"/>
      <c r="W316" s="1"/>
      <c r="X316" s="1"/>
      <c r="Y316" s="1"/>
      <c r="Z316" s="1"/>
      <c r="AA316" s="1"/>
      <c r="AB316" s="1">
        <f>+AVERAGE([51]Henry_etal_2012_Fig3ab!B9,[52]Henry_etal_2012_Fig3cd!B9)</f>
        <v>1.320585237514245E-8</v>
      </c>
      <c r="AC316" s="1"/>
      <c r="AD316" s="3"/>
      <c r="AF316" s="2"/>
      <c r="AG316" s="2"/>
      <c r="AK316" t="s">
        <v>199</v>
      </c>
    </row>
    <row r="317" spans="1:37" hidden="1" x14ac:dyDescent="0.25">
      <c r="A317" t="s">
        <v>547</v>
      </c>
      <c r="B317" t="s">
        <v>53</v>
      </c>
      <c r="C317" t="s">
        <v>54</v>
      </c>
      <c r="D317" t="s">
        <v>16</v>
      </c>
      <c r="E317" t="s">
        <v>17</v>
      </c>
      <c r="F317" t="s">
        <v>18</v>
      </c>
      <c r="G317" t="s">
        <v>18</v>
      </c>
      <c r="H317" t="s">
        <v>18</v>
      </c>
      <c r="I317" t="s">
        <v>704</v>
      </c>
      <c r="J317">
        <v>21</v>
      </c>
      <c r="K317" t="s">
        <v>693</v>
      </c>
      <c r="L317" t="s">
        <v>48</v>
      </c>
      <c r="M317" t="str">
        <f t="shared" si="46"/>
        <v>Stress</v>
      </c>
      <c r="N317" t="s">
        <v>425</v>
      </c>
      <c r="O317" t="s">
        <v>707</v>
      </c>
      <c r="P317" t="s">
        <v>489</v>
      </c>
      <c r="Q317" t="s">
        <v>707</v>
      </c>
      <c r="R317" t="s">
        <v>408</v>
      </c>
      <c r="S317" t="s">
        <v>701</v>
      </c>
      <c r="T317" t="s">
        <v>695</v>
      </c>
      <c r="U317" t="s">
        <v>609</v>
      </c>
      <c r="V317" s="1"/>
      <c r="W317" s="1"/>
      <c r="X317" s="1"/>
      <c r="Y317" s="1"/>
      <c r="Z317" s="1"/>
      <c r="AA317" s="1"/>
      <c r="AB317" s="1">
        <f>+AVERAGE([51]Henry_etal_2012_Fig3ab!B10,[52]Henry_etal_2012_Fig3cd!B10)</f>
        <v>1.59481741453152E-8</v>
      </c>
      <c r="AC317" s="1"/>
      <c r="AD317" s="3"/>
      <c r="AF317" s="2"/>
      <c r="AG317" s="2"/>
      <c r="AK317" t="s">
        <v>199</v>
      </c>
    </row>
    <row r="318" spans="1:37" hidden="1" x14ac:dyDescent="0.25">
      <c r="A318" t="s">
        <v>547</v>
      </c>
      <c r="B318" t="s">
        <v>53</v>
      </c>
      <c r="C318" t="s">
        <v>54</v>
      </c>
      <c r="D318" t="s">
        <v>16</v>
      </c>
      <c r="E318" t="s">
        <v>17</v>
      </c>
      <c r="F318" t="s">
        <v>18</v>
      </c>
      <c r="G318" t="s">
        <v>18</v>
      </c>
      <c r="H318" t="s">
        <v>18</v>
      </c>
      <c r="I318" t="s">
        <v>704</v>
      </c>
      <c r="J318">
        <v>21</v>
      </c>
      <c r="K318" t="s">
        <v>693</v>
      </c>
      <c r="L318" t="s">
        <v>48</v>
      </c>
      <c r="M318" t="str">
        <f t="shared" si="46"/>
        <v>Stress</v>
      </c>
      <c r="N318" t="s">
        <v>426</v>
      </c>
      <c r="O318" t="s">
        <v>707</v>
      </c>
      <c r="P318" t="s">
        <v>487</v>
      </c>
      <c r="Q318" t="s">
        <v>707</v>
      </c>
      <c r="R318" t="s">
        <v>408</v>
      </c>
      <c r="S318" t="s">
        <v>701</v>
      </c>
      <c r="T318" t="s">
        <v>695</v>
      </c>
      <c r="U318" t="s">
        <v>609</v>
      </c>
      <c r="V318" s="1"/>
      <c r="W318" s="1"/>
      <c r="X318" s="1"/>
      <c r="Y318" s="1"/>
      <c r="Z318" s="1"/>
      <c r="AA318" s="1"/>
      <c r="AB318" s="1">
        <f>+AVERAGE([51]Henry_etal_2012_Fig3ab!B11,[52]Henry_etal_2012_Fig3cd!B11)</f>
        <v>1.877193510973195E-8</v>
      </c>
      <c r="AC318" s="1"/>
      <c r="AD318" s="3"/>
      <c r="AF318" s="2"/>
      <c r="AG318" s="2"/>
      <c r="AK318" t="s">
        <v>199</v>
      </c>
    </row>
    <row r="319" spans="1:37" hidden="1" x14ac:dyDescent="0.25">
      <c r="A319" t="s">
        <v>547</v>
      </c>
      <c r="B319" t="s">
        <v>53</v>
      </c>
      <c r="C319" t="s">
        <v>54</v>
      </c>
      <c r="D319" t="s">
        <v>16</v>
      </c>
      <c r="E319" t="s">
        <v>17</v>
      </c>
      <c r="F319" t="s">
        <v>18</v>
      </c>
      <c r="G319" t="s">
        <v>18</v>
      </c>
      <c r="H319" t="s">
        <v>18</v>
      </c>
      <c r="I319" t="s">
        <v>704</v>
      </c>
      <c r="J319">
        <v>21</v>
      </c>
      <c r="K319" t="s">
        <v>693</v>
      </c>
      <c r="L319" t="s">
        <v>48</v>
      </c>
      <c r="M319" t="str">
        <f t="shared" si="46"/>
        <v>Stress</v>
      </c>
      <c r="N319" t="s">
        <v>426</v>
      </c>
      <c r="O319" t="s">
        <v>707</v>
      </c>
      <c r="P319" t="s">
        <v>493</v>
      </c>
      <c r="Q319" t="s">
        <v>707</v>
      </c>
      <c r="R319" t="s">
        <v>408</v>
      </c>
      <c r="S319" t="s">
        <v>701</v>
      </c>
      <c r="T319" t="s">
        <v>695</v>
      </c>
      <c r="U319" t="s">
        <v>609</v>
      </c>
      <c r="V319" s="1"/>
      <c r="W319" s="1"/>
      <c r="X319" s="1"/>
      <c r="Y319" s="1"/>
      <c r="Z319" s="1"/>
      <c r="AA319" s="1"/>
      <c r="AB319" s="1">
        <f>+AVERAGE([51]Henry_etal_2012_Fig3ab!B12,[52]Henry_etal_2012_Fig3cd!B12)</f>
        <v>2.2135243288295701E-8</v>
      </c>
      <c r="AC319" s="1"/>
      <c r="AD319" s="3"/>
      <c r="AF319" s="2"/>
      <c r="AG319" s="2"/>
      <c r="AK319" t="s">
        <v>199</v>
      </c>
    </row>
    <row r="320" spans="1:37" hidden="1" x14ac:dyDescent="0.25">
      <c r="A320" t="s">
        <v>547</v>
      </c>
      <c r="B320" t="s">
        <v>53</v>
      </c>
      <c r="C320" t="s">
        <v>54</v>
      </c>
      <c r="D320" t="s">
        <v>16</v>
      </c>
      <c r="E320" t="s">
        <v>17</v>
      </c>
      <c r="F320" t="s">
        <v>18</v>
      </c>
      <c r="G320" t="s">
        <v>18</v>
      </c>
      <c r="H320" t="s">
        <v>18</v>
      </c>
      <c r="I320" t="s">
        <v>704</v>
      </c>
      <c r="J320">
        <v>21</v>
      </c>
      <c r="K320" t="s">
        <v>693</v>
      </c>
      <c r="L320" t="s">
        <v>48</v>
      </c>
      <c r="M320" t="str">
        <f t="shared" si="46"/>
        <v>Stress</v>
      </c>
      <c r="N320" t="s">
        <v>426</v>
      </c>
      <c r="O320" t="s">
        <v>707</v>
      </c>
      <c r="P320" t="s">
        <v>489</v>
      </c>
      <c r="Q320" t="s">
        <v>707</v>
      </c>
      <c r="R320" t="s">
        <v>408</v>
      </c>
      <c r="S320" t="s">
        <v>701</v>
      </c>
      <c r="T320" t="s">
        <v>695</v>
      </c>
      <c r="U320" t="s">
        <v>609</v>
      </c>
      <c r="V320" s="1"/>
      <c r="W320" s="1"/>
      <c r="X320" s="1"/>
      <c r="Y320" s="1"/>
      <c r="Z320" s="1"/>
      <c r="AA320" s="1"/>
      <c r="AB320" s="1">
        <f>+AVERAGE([51]Henry_etal_2012_Fig3ab!B13,[52]Henry_etal_2012_Fig3cd!B13)</f>
        <v>1.4734720109254999E-8</v>
      </c>
      <c r="AC320" s="1"/>
      <c r="AD320" s="3"/>
      <c r="AF320" s="2"/>
      <c r="AG320" s="2"/>
      <c r="AK320" t="s">
        <v>199</v>
      </c>
    </row>
    <row r="321" spans="1:37" hidden="1" x14ac:dyDescent="0.25">
      <c r="A321" t="s">
        <v>372</v>
      </c>
      <c r="B321" t="s">
        <v>263</v>
      </c>
      <c r="C321" t="s">
        <v>264</v>
      </c>
      <c r="D321" t="s">
        <v>196</v>
      </c>
      <c r="E321" t="s">
        <v>17</v>
      </c>
      <c r="F321" t="s">
        <v>265</v>
      </c>
      <c r="G321" t="s">
        <v>619</v>
      </c>
      <c r="H321" t="s">
        <v>761</v>
      </c>
      <c r="I321" t="s">
        <v>705</v>
      </c>
      <c r="J321">
        <f>6*30+1*30+6*30</f>
        <v>390</v>
      </c>
      <c r="K321" t="s">
        <v>136</v>
      </c>
      <c r="L321" t="s">
        <v>36</v>
      </c>
      <c r="M321" t="str">
        <f t="shared" ref="M321:M343" si="47">+IF(L321 = "Control", "Control", "Stress")</f>
        <v>Control</v>
      </c>
      <c r="R321" t="s">
        <v>408</v>
      </c>
      <c r="S321" t="s">
        <v>701</v>
      </c>
      <c r="T321" t="s">
        <v>695</v>
      </c>
      <c r="U321" t="s">
        <v>609</v>
      </c>
      <c r="V321" s="1" t="s">
        <v>774</v>
      </c>
      <c r="W321" s="1">
        <v>1.2E-8</v>
      </c>
      <c r="X321" s="1"/>
      <c r="Y321" s="1"/>
      <c r="Z321" s="1"/>
      <c r="AA321" s="1">
        <v>2.0000000000000001E-10</v>
      </c>
      <c r="AC321" s="1"/>
      <c r="AD321" s="3"/>
      <c r="AF321" s="2">
        <v>13.8</v>
      </c>
      <c r="AG321" s="2"/>
      <c r="AJ321" s="3"/>
      <c r="AK321" t="s">
        <v>44</v>
      </c>
    </row>
    <row r="322" spans="1:37" hidden="1" x14ac:dyDescent="0.25">
      <c r="A322" t="s">
        <v>372</v>
      </c>
      <c r="B322" t="s">
        <v>263</v>
      </c>
      <c r="C322" t="s">
        <v>264</v>
      </c>
      <c r="D322" t="s">
        <v>196</v>
      </c>
      <c r="E322" t="s">
        <v>17</v>
      </c>
      <c r="F322" t="s">
        <v>265</v>
      </c>
      <c r="G322" t="s">
        <v>619</v>
      </c>
      <c r="H322" t="s">
        <v>761</v>
      </c>
      <c r="I322" t="s">
        <v>705</v>
      </c>
      <c r="J322">
        <f>6*30+1*30+6*30</f>
        <v>390</v>
      </c>
      <c r="K322" t="s">
        <v>136</v>
      </c>
      <c r="L322" t="s">
        <v>100</v>
      </c>
      <c r="M322" t="str">
        <f t="shared" si="47"/>
        <v>Stress</v>
      </c>
      <c r="R322" t="s">
        <v>408</v>
      </c>
      <c r="S322" t="s">
        <v>701</v>
      </c>
      <c r="T322" t="s">
        <v>695</v>
      </c>
      <c r="U322" t="s">
        <v>609</v>
      </c>
      <c r="V322" s="1" t="s">
        <v>774</v>
      </c>
      <c r="W322" s="1">
        <v>1.2E-8</v>
      </c>
      <c r="X322" s="1"/>
      <c r="Y322" s="1"/>
      <c r="Z322" s="1"/>
      <c r="AA322" s="1">
        <v>1.5999999999999999E-10</v>
      </c>
      <c r="AC322" s="1"/>
      <c r="AD322" s="3"/>
      <c r="AF322" s="2">
        <v>11.8</v>
      </c>
      <c r="AG322" s="2"/>
      <c r="AJ322" s="3"/>
      <c r="AK322" t="s">
        <v>44</v>
      </c>
    </row>
    <row r="323" spans="1:37" hidden="1" x14ac:dyDescent="0.25">
      <c r="A323" t="s">
        <v>566</v>
      </c>
      <c r="B323" t="s">
        <v>50</v>
      </c>
      <c r="C323" t="s">
        <v>51</v>
      </c>
      <c r="D323" t="s">
        <v>16</v>
      </c>
      <c r="E323" t="s">
        <v>29</v>
      </c>
      <c r="F323" t="s">
        <v>30</v>
      </c>
      <c r="G323" t="s">
        <v>30</v>
      </c>
      <c r="H323" t="s">
        <v>30</v>
      </c>
      <c r="I323" t="s">
        <v>704</v>
      </c>
      <c r="J323">
        <f t="shared" ref="J323:J330" si="48">8*7</f>
        <v>56</v>
      </c>
      <c r="K323" t="s">
        <v>650</v>
      </c>
      <c r="L323" t="s">
        <v>36</v>
      </c>
      <c r="M323" t="str">
        <f t="shared" si="47"/>
        <v>Control</v>
      </c>
      <c r="N323" t="s">
        <v>210</v>
      </c>
      <c r="O323" t="s">
        <v>707</v>
      </c>
      <c r="R323" t="s">
        <v>408</v>
      </c>
      <c r="S323" t="s">
        <v>701</v>
      </c>
      <c r="T323" t="s">
        <v>695</v>
      </c>
      <c r="U323" t="s">
        <v>609</v>
      </c>
      <c r="V323" s="1"/>
      <c r="W323" s="1"/>
      <c r="X323" s="1"/>
      <c r="Y323" s="1">
        <f>[53]Barzana_etal_2012_Fig1e!C2</f>
        <v>1.5473608098336945E-9</v>
      </c>
      <c r="Z323" s="1"/>
      <c r="AA323" s="1"/>
      <c r="AC323" s="1"/>
      <c r="AD323" s="3"/>
      <c r="AF323" s="2"/>
      <c r="AG323" s="2"/>
      <c r="AJ323" s="3"/>
      <c r="AK323" t="s">
        <v>199</v>
      </c>
    </row>
    <row r="324" spans="1:37" hidden="1" x14ac:dyDescent="0.25">
      <c r="A324" t="s">
        <v>566</v>
      </c>
      <c r="B324" t="s">
        <v>50</v>
      </c>
      <c r="C324" t="s">
        <v>51</v>
      </c>
      <c r="D324" t="s">
        <v>16</v>
      </c>
      <c r="E324" t="s">
        <v>29</v>
      </c>
      <c r="F324" t="s">
        <v>30</v>
      </c>
      <c r="G324" t="s">
        <v>30</v>
      </c>
      <c r="H324" t="s">
        <v>30</v>
      </c>
      <c r="I324" t="s">
        <v>704</v>
      </c>
      <c r="J324">
        <f t="shared" si="48"/>
        <v>56</v>
      </c>
      <c r="K324" t="s">
        <v>650</v>
      </c>
      <c r="L324" t="s">
        <v>36</v>
      </c>
      <c r="M324" t="str">
        <f t="shared" si="47"/>
        <v>Control</v>
      </c>
      <c r="N324" t="s">
        <v>349</v>
      </c>
      <c r="O324" t="s">
        <v>707</v>
      </c>
      <c r="R324" t="s">
        <v>408</v>
      </c>
      <c r="S324" t="s">
        <v>701</v>
      </c>
      <c r="T324" t="s">
        <v>695</v>
      </c>
      <c r="U324" t="s">
        <v>609</v>
      </c>
      <c r="V324" s="1"/>
      <c r="W324" s="1"/>
      <c r="X324" s="1"/>
      <c r="Y324" s="1">
        <f>[53]Barzana_etal_2012_Fig1e!C3</f>
        <v>1.4750542299349222E-9</v>
      </c>
      <c r="Z324" s="1"/>
      <c r="AA324" s="1"/>
      <c r="AC324" s="1"/>
      <c r="AD324" s="3"/>
      <c r="AF324" s="2"/>
      <c r="AG324" s="2"/>
      <c r="AJ324" s="3"/>
      <c r="AK324" t="s">
        <v>199</v>
      </c>
    </row>
    <row r="325" spans="1:37" hidden="1" x14ac:dyDescent="0.25">
      <c r="A325" t="s">
        <v>566</v>
      </c>
      <c r="B325" t="s">
        <v>50</v>
      </c>
      <c r="C325" t="s">
        <v>51</v>
      </c>
      <c r="D325" t="s">
        <v>16</v>
      </c>
      <c r="E325" t="s">
        <v>29</v>
      </c>
      <c r="F325" t="s">
        <v>30</v>
      </c>
      <c r="G325" t="s">
        <v>30</v>
      </c>
      <c r="H325" t="s">
        <v>30</v>
      </c>
      <c r="I325" t="s">
        <v>704</v>
      </c>
      <c r="J325">
        <f t="shared" si="48"/>
        <v>56</v>
      </c>
      <c r="K325" t="s">
        <v>650</v>
      </c>
      <c r="L325" t="s">
        <v>48</v>
      </c>
      <c r="M325" t="str">
        <f t="shared" si="47"/>
        <v>Stress</v>
      </c>
      <c r="N325" t="s">
        <v>210</v>
      </c>
      <c r="O325" t="s">
        <v>707</v>
      </c>
      <c r="R325" t="s">
        <v>408</v>
      </c>
      <c r="S325" t="s">
        <v>701</v>
      </c>
      <c r="T325" t="s">
        <v>695</v>
      </c>
      <c r="U325" t="s">
        <v>609</v>
      </c>
      <c r="V325" s="1"/>
      <c r="W325" s="1"/>
      <c r="X325" s="1"/>
      <c r="Y325" s="1">
        <f>[53]Barzana_etal_2012_Fig1e!C4</f>
        <v>6.2183658712942778E-10</v>
      </c>
      <c r="Z325" s="1"/>
      <c r="AA325" s="1"/>
      <c r="AC325" s="1"/>
      <c r="AD325" s="3"/>
      <c r="AF325" s="2"/>
      <c r="AG325" s="2"/>
      <c r="AJ325" s="3"/>
      <c r="AK325" t="s">
        <v>199</v>
      </c>
    </row>
    <row r="326" spans="1:37" hidden="1" x14ac:dyDescent="0.25">
      <c r="A326" t="s">
        <v>566</v>
      </c>
      <c r="B326" t="s">
        <v>50</v>
      </c>
      <c r="C326" t="s">
        <v>51</v>
      </c>
      <c r="D326" t="s">
        <v>16</v>
      </c>
      <c r="E326" t="s">
        <v>29</v>
      </c>
      <c r="F326" t="s">
        <v>30</v>
      </c>
      <c r="G326" t="s">
        <v>30</v>
      </c>
      <c r="H326" t="s">
        <v>30</v>
      </c>
      <c r="I326" t="s">
        <v>704</v>
      </c>
      <c r="J326">
        <f t="shared" si="48"/>
        <v>56</v>
      </c>
      <c r="K326" t="s">
        <v>650</v>
      </c>
      <c r="L326" t="s">
        <v>48</v>
      </c>
      <c r="M326" t="str">
        <f t="shared" si="47"/>
        <v>Stress</v>
      </c>
      <c r="N326" t="s">
        <v>349</v>
      </c>
      <c r="O326" t="s">
        <v>707</v>
      </c>
      <c r="R326" t="s">
        <v>408</v>
      </c>
      <c r="S326" t="s">
        <v>701</v>
      </c>
      <c r="T326" t="s">
        <v>695</v>
      </c>
      <c r="U326" t="s">
        <v>609</v>
      </c>
      <c r="V326" s="1"/>
      <c r="W326" s="1"/>
      <c r="X326" s="1"/>
      <c r="Y326" s="1">
        <f>[53]Barzana_etal_2012_Fig1e!C5</f>
        <v>1.050855627862136E-9</v>
      </c>
      <c r="Z326" s="1"/>
      <c r="AA326" s="1"/>
      <c r="AC326" s="1"/>
      <c r="AD326" s="3"/>
      <c r="AF326" s="2"/>
      <c r="AG326" s="2"/>
      <c r="AJ326" s="3"/>
      <c r="AK326" t="s">
        <v>199</v>
      </c>
    </row>
    <row r="327" spans="1:37" hidden="1" x14ac:dyDescent="0.25">
      <c r="A327" t="s">
        <v>566</v>
      </c>
      <c r="B327" t="s">
        <v>32</v>
      </c>
      <c r="C327" t="s">
        <v>33</v>
      </c>
      <c r="D327" t="s">
        <v>34</v>
      </c>
      <c r="E327" t="s">
        <v>17</v>
      </c>
      <c r="F327" t="s">
        <v>614</v>
      </c>
      <c r="G327" t="s">
        <v>614</v>
      </c>
      <c r="H327" t="s">
        <v>801</v>
      </c>
      <c r="I327" t="s">
        <v>804</v>
      </c>
      <c r="J327">
        <f t="shared" si="48"/>
        <v>56</v>
      </c>
      <c r="K327" t="s">
        <v>650</v>
      </c>
      <c r="L327" t="s">
        <v>36</v>
      </c>
      <c r="M327" t="str">
        <f t="shared" si="47"/>
        <v>Control</v>
      </c>
      <c r="N327" t="s">
        <v>210</v>
      </c>
      <c r="O327" t="s">
        <v>707</v>
      </c>
      <c r="R327" t="s">
        <v>408</v>
      </c>
      <c r="S327" t="s">
        <v>701</v>
      </c>
      <c r="T327" t="s">
        <v>695</v>
      </c>
      <c r="U327" t="s">
        <v>609</v>
      </c>
      <c r="V327" s="1"/>
      <c r="W327" s="1"/>
      <c r="X327" s="1"/>
      <c r="Y327" s="1">
        <f>[54]Barzana_etal_2012_Fig2e!C2</f>
        <v>1.3561320754717001E-8</v>
      </c>
      <c r="Z327" s="1"/>
      <c r="AA327" s="1"/>
      <c r="AC327" s="1"/>
      <c r="AD327" s="3"/>
      <c r="AF327" s="2"/>
      <c r="AG327" s="2"/>
      <c r="AJ327" s="3"/>
      <c r="AK327" t="s">
        <v>199</v>
      </c>
    </row>
    <row r="328" spans="1:37" hidden="1" x14ac:dyDescent="0.25">
      <c r="A328" t="s">
        <v>566</v>
      </c>
      <c r="B328" t="s">
        <v>32</v>
      </c>
      <c r="C328" t="s">
        <v>33</v>
      </c>
      <c r="D328" t="s">
        <v>34</v>
      </c>
      <c r="E328" t="s">
        <v>17</v>
      </c>
      <c r="F328" t="s">
        <v>614</v>
      </c>
      <c r="G328" t="s">
        <v>614</v>
      </c>
      <c r="H328" t="s">
        <v>801</v>
      </c>
      <c r="I328" t="s">
        <v>804</v>
      </c>
      <c r="J328">
        <f t="shared" si="48"/>
        <v>56</v>
      </c>
      <c r="K328" t="s">
        <v>650</v>
      </c>
      <c r="L328" t="s">
        <v>36</v>
      </c>
      <c r="M328" t="str">
        <f t="shared" si="47"/>
        <v>Control</v>
      </c>
      <c r="N328" t="s">
        <v>349</v>
      </c>
      <c r="O328" t="s">
        <v>707</v>
      </c>
      <c r="R328" t="s">
        <v>408</v>
      </c>
      <c r="S328" t="s">
        <v>701</v>
      </c>
      <c r="T328" t="s">
        <v>695</v>
      </c>
      <c r="U328" t="s">
        <v>609</v>
      </c>
      <c r="V328" s="1"/>
      <c r="W328" s="1"/>
      <c r="X328" s="1"/>
      <c r="Y328" s="1">
        <f>[54]Barzana_etal_2012_Fig2e!C3</f>
        <v>4.8480083857442502E-9</v>
      </c>
      <c r="Z328" s="1"/>
      <c r="AA328" s="1"/>
      <c r="AC328" s="1"/>
      <c r="AD328" s="3"/>
      <c r="AF328" s="2"/>
      <c r="AG328" s="2"/>
      <c r="AJ328" s="3"/>
      <c r="AK328" t="s">
        <v>199</v>
      </c>
    </row>
    <row r="329" spans="1:37" hidden="1" x14ac:dyDescent="0.25">
      <c r="A329" t="s">
        <v>566</v>
      </c>
      <c r="B329" t="s">
        <v>32</v>
      </c>
      <c r="C329" t="s">
        <v>33</v>
      </c>
      <c r="D329" t="s">
        <v>34</v>
      </c>
      <c r="E329" t="s">
        <v>17</v>
      </c>
      <c r="F329" t="s">
        <v>614</v>
      </c>
      <c r="G329" t="s">
        <v>614</v>
      </c>
      <c r="H329" t="s">
        <v>801</v>
      </c>
      <c r="I329" t="s">
        <v>804</v>
      </c>
      <c r="J329">
        <f t="shared" si="48"/>
        <v>56</v>
      </c>
      <c r="K329" t="s">
        <v>650</v>
      </c>
      <c r="L329" t="s">
        <v>48</v>
      </c>
      <c r="M329" t="str">
        <f t="shared" si="47"/>
        <v>Stress</v>
      </c>
      <c r="N329" t="s">
        <v>210</v>
      </c>
      <c r="O329" t="s">
        <v>707</v>
      </c>
      <c r="R329" t="s">
        <v>408</v>
      </c>
      <c r="S329" t="s">
        <v>701</v>
      </c>
      <c r="T329" t="s">
        <v>695</v>
      </c>
      <c r="U329" t="s">
        <v>609</v>
      </c>
      <c r="V329" s="1"/>
      <c r="W329" s="1"/>
      <c r="X329" s="1"/>
      <c r="Y329" s="1">
        <f>[54]Barzana_etal_2012_Fig2e!C4</f>
        <v>5.7651991614256105E-9</v>
      </c>
      <c r="Z329" s="1"/>
      <c r="AA329" s="1"/>
      <c r="AC329" s="1"/>
      <c r="AD329" s="3"/>
      <c r="AF329" s="2"/>
      <c r="AG329" s="2"/>
      <c r="AJ329" s="3"/>
      <c r="AK329" t="s">
        <v>199</v>
      </c>
    </row>
    <row r="330" spans="1:37" hidden="1" x14ac:dyDescent="0.25">
      <c r="A330" t="s">
        <v>566</v>
      </c>
      <c r="B330" t="s">
        <v>32</v>
      </c>
      <c r="C330" t="s">
        <v>33</v>
      </c>
      <c r="D330" t="s">
        <v>34</v>
      </c>
      <c r="E330" t="s">
        <v>17</v>
      </c>
      <c r="F330" t="s">
        <v>614</v>
      </c>
      <c r="G330" t="s">
        <v>614</v>
      </c>
      <c r="H330" t="s">
        <v>801</v>
      </c>
      <c r="I330" t="s">
        <v>804</v>
      </c>
      <c r="J330">
        <f t="shared" si="48"/>
        <v>56</v>
      </c>
      <c r="K330" t="s">
        <v>650</v>
      </c>
      <c r="L330" t="s">
        <v>48</v>
      </c>
      <c r="M330" t="str">
        <f t="shared" si="47"/>
        <v>Stress</v>
      </c>
      <c r="N330" t="s">
        <v>349</v>
      </c>
      <c r="O330" t="s">
        <v>707</v>
      </c>
      <c r="R330" t="s">
        <v>408</v>
      </c>
      <c r="S330" t="s">
        <v>701</v>
      </c>
      <c r="T330" t="s">
        <v>695</v>
      </c>
      <c r="U330" t="s">
        <v>609</v>
      </c>
      <c r="V330" s="1"/>
      <c r="W330" s="1"/>
      <c r="X330" s="1"/>
      <c r="Y330" s="1">
        <f>[54]Barzana_etal_2012_Fig2e!C5</f>
        <v>1.5723270440251749E-9</v>
      </c>
      <c r="Z330" s="1"/>
      <c r="AA330" s="1"/>
      <c r="AC330" s="1"/>
      <c r="AD330" s="3"/>
      <c r="AF330" s="2"/>
      <c r="AG330" s="2"/>
      <c r="AJ330" s="3"/>
      <c r="AK330" t="s">
        <v>199</v>
      </c>
    </row>
    <row r="331" spans="1:37" hidden="1" x14ac:dyDescent="0.25">
      <c r="A331" t="s">
        <v>246</v>
      </c>
      <c r="B331" t="s">
        <v>233</v>
      </c>
      <c r="C331" t="s">
        <v>234</v>
      </c>
      <c r="D331" t="s">
        <v>149</v>
      </c>
      <c r="E331" t="s">
        <v>17</v>
      </c>
      <c r="F331" t="s">
        <v>69</v>
      </c>
      <c r="G331" t="s">
        <v>763</v>
      </c>
      <c r="H331" t="s">
        <v>760</v>
      </c>
      <c r="I331" t="s">
        <v>705</v>
      </c>
      <c r="J331">
        <f t="shared" ref="J331:J345" si="49">2*365</f>
        <v>730</v>
      </c>
      <c r="K331" t="s">
        <v>513</v>
      </c>
      <c r="L331" t="s">
        <v>36</v>
      </c>
      <c r="M331" t="str">
        <f t="shared" si="47"/>
        <v>Control</v>
      </c>
      <c r="N331" t="s">
        <v>649</v>
      </c>
      <c r="O331" t="s">
        <v>707</v>
      </c>
      <c r="R331" t="s">
        <v>408</v>
      </c>
      <c r="S331" t="s">
        <v>701</v>
      </c>
      <c r="T331" t="s">
        <v>695</v>
      </c>
      <c r="U331" t="s">
        <v>609</v>
      </c>
      <c r="V331" s="1" t="s">
        <v>774</v>
      </c>
      <c r="W331" s="1">
        <v>3.7300000000000001E-9</v>
      </c>
      <c r="X331" s="1"/>
      <c r="Y331" s="4"/>
      <c r="AF331" s="3">
        <f>[55]Yang_etal_2011_Fig2a!B2</f>
        <v>8.2547373299819906</v>
      </c>
      <c r="AK331" t="s">
        <v>44</v>
      </c>
    </row>
    <row r="332" spans="1:37" hidden="1" x14ac:dyDescent="0.25">
      <c r="A332" t="s">
        <v>246</v>
      </c>
      <c r="B332" t="s">
        <v>233</v>
      </c>
      <c r="C332" t="s">
        <v>234</v>
      </c>
      <c r="D332" t="s">
        <v>149</v>
      </c>
      <c r="E332" t="s">
        <v>17</v>
      </c>
      <c r="F332" t="s">
        <v>69</v>
      </c>
      <c r="G332" t="s">
        <v>763</v>
      </c>
      <c r="H332" t="s">
        <v>760</v>
      </c>
      <c r="I332" t="s">
        <v>705</v>
      </c>
      <c r="J332">
        <f t="shared" si="49"/>
        <v>730</v>
      </c>
      <c r="K332" t="s">
        <v>513</v>
      </c>
      <c r="L332" t="s">
        <v>648</v>
      </c>
      <c r="M332" t="str">
        <f t="shared" si="47"/>
        <v>Stress</v>
      </c>
      <c r="N332" t="s">
        <v>649</v>
      </c>
      <c r="O332" t="s">
        <v>707</v>
      </c>
      <c r="R332" t="s">
        <v>408</v>
      </c>
      <c r="S332" t="s">
        <v>701</v>
      </c>
      <c r="T332" t="s">
        <v>695</v>
      </c>
      <c r="U332" t="s">
        <v>609</v>
      </c>
      <c r="V332" s="1" t="s">
        <v>774</v>
      </c>
      <c r="W332" s="1">
        <v>2.0200000000000001E-9</v>
      </c>
      <c r="X332" s="1"/>
      <c r="Y332" s="4"/>
      <c r="AF332" s="3">
        <f>[55]Yang_etal_2011_Fig2a!B3</f>
        <v>5.8940931097290497</v>
      </c>
      <c r="AK332" t="s">
        <v>44</v>
      </c>
    </row>
    <row r="333" spans="1:37" hidden="1" x14ac:dyDescent="0.25">
      <c r="A333" t="s">
        <v>246</v>
      </c>
      <c r="B333" t="s">
        <v>233</v>
      </c>
      <c r="C333" t="s">
        <v>234</v>
      </c>
      <c r="D333" t="s">
        <v>149</v>
      </c>
      <c r="E333" t="s">
        <v>17</v>
      </c>
      <c r="F333" t="s">
        <v>69</v>
      </c>
      <c r="G333" t="s">
        <v>763</v>
      </c>
      <c r="H333" t="s">
        <v>760</v>
      </c>
      <c r="I333" t="s">
        <v>705</v>
      </c>
      <c r="J333">
        <f t="shared" si="49"/>
        <v>730</v>
      </c>
      <c r="K333" t="s">
        <v>513</v>
      </c>
      <c r="L333" t="s">
        <v>654</v>
      </c>
      <c r="M333" t="str">
        <f t="shared" si="47"/>
        <v>Stress</v>
      </c>
      <c r="N333" t="s">
        <v>649</v>
      </c>
      <c r="O333" t="s">
        <v>707</v>
      </c>
      <c r="R333" t="s">
        <v>408</v>
      </c>
      <c r="S333" t="s">
        <v>701</v>
      </c>
      <c r="T333" t="s">
        <v>695</v>
      </c>
      <c r="U333" t="s">
        <v>609</v>
      </c>
      <c r="V333" s="1" t="s">
        <v>774</v>
      </c>
      <c r="W333" s="1">
        <v>3.9200000000000005E-9</v>
      </c>
      <c r="X333" s="1"/>
      <c r="Y333" s="4"/>
      <c r="AF333" s="3">
        <f>[55]Yang_etal_2011_Fig2a!B4</f>
        <v>8.1144446227070901</v>
      </c>
      <c r="AK333" t="s">
        <v>44</v>
      </c>
    </row>
    <row r="334" spans="1:37" hidden="1" x14ac:dyDescent="0.25">
      <c r="A334" t="s">
        <v>246</v>
      </c>
      <c r="B334" t="s">
        <v>233</v>
      </c>
      <c r="C334" t="s">
        <v>234</v>
      </c>
      <c r="D334" t="s">
        <v>149</v>
      </c>
      <c r="E334" t="s">
        <v>17</v>
      </c>
      <c r="F334" t="s">
        <v>69</v>
      </c>
      <c r="G334" t="s">
        <v>763</v>
      </c>
      <c r="H334" t="s">
        <v>760</v>
      </c>
      <c r="I334" t="s">
        <v>705</v>
      </c>
      <c r="J334">
        <f t="shared" si="49"/>
        <v>730</v>
      </c>
      <c r="K334" t="s">
        <v>513</v>
      </c>
      <c r="L334" t="s">
        <v>36</v>
      </c>
      <c r="M334" t="str">
        <f t="shared" si="47"/>
        <v>Control</v>
      </c>
      <c r="N334" t="s">
        <v>651</v>
      </c>
      <c r="O334" t="s">
        <v>707</v>
      </c>
      <c r="R334" t="s">
        <v>408</v>
      </c>
      <c r="S334" t="s">
        <v>701</v>
      </c>
      <c r="T334" t="s">
        <v>695</v>
      </c>
      <c r="U334" t="s">
        <v>609</v>
      </c>
      <c r="V334" s="1" t="s">
        <v>774</v>
      </c>
      <c r="W334" s="1">
        <v>4.8099999999999997E-9</v>
      </c>
      <c r="X334" s="1"/>
      <c r="Y334" s="4"/>
      <c r="AF334" s="3">
        <f>[55]Yang_etal_2011_Fig2a!B5</f>
        <v>8.9488207925557504</v>
      </c>
      <c r="AK334" t="s">
        <v>44</v>
      </c>
    </row>
    <row r="335" spans="1:37" hidden="1" x14ac:dyDescent="0.25">
      <c r="A335" t="s">
        <v>246</v>
      </c>
      <c r="B335" t="s">
        <v>233</v>
      </c>
      <c r="C335" t="s">
        <v>234</v>
      </c>
      <c r="D335" t="s">
        <v>149</v>
      </c>
      <c r="E335" t="s">
        <v>17</v>
      </c>
      <c r="F335" t="s">
        <v>69</v>
      </c>
      <c r="G335" t="s">
        <v>763</v>
      </c>
      <c r="H335" t="s">
        <v>760</v>
      </c>
      <c r="I335" t="s">
        <v>705</v>
      </c>
      <c r="J335">
        <f t="shared" si="49"/>
        <v>730</v>
      </c>
      <c r="K335" t="s">
        <v>513</v>
      </c>
      <c r="L335" t="s">
        <v>648</v>
      </c>
      <c r="M335" t="str">
        <f t="shared" si="47"/>
        <v>Stress</v>
      </c>
      <c r="N335" t="s">
        <v>651</v>
      </c>
      <c r="O335" t="s">
        <v>707</v>
      </c>
      <c r="R335" t="s">
        <v>408</v>
      </c>
      <c r="S335" t="s">
        <v>701</v>
      </c>
      <c r="T335" t="s">
        <v>695</v>
      </c>
      <c r="U335" t="s">
        <v>609</v>
      </c>
      <c r="V335" s="1" t="s">
        <v>774</v>
      </c>
      <c r="W335" s="1">
        <v>3.1899999999999999E-9</v>
      </c>
      <c r="X335" s="1"/>
      <c r="Y335" s="4"/>
      <c r="AF335" s="3">
        <f>[55]Yang_etal_2011_Fig2a!B6</f>
        <v>6.9528222647955298</v>
      </c>
      <c r="AK335" t="s">
        <v>44</v>
      </c>
    </row>
    <row r="336" spans="1:37" hidden="1" x14ac:dyDescent="0.25">
      <c r="A336" t="s">
        <v>246</v>
      </c>
      <c r="B336" t="s">
        <v>233</v>
      </c>
      <c r="C336" t="s">
        <v>234</v>
      </c>
      <c r="D336" t="s">
        <v>149</v>
      </c>
      <c r="E336" t="s">
        <v>17</v>
      </c>
      <c r="F336" t="s">
        <v>69</v>
      </c>
      <c r="G336" t="s">
        <v>763</v>
      </c>
      <c r="H336" t="s">
        <v>760</v>
      </c>
      <c r="I336" t="s">
        <v>705</v>
      </c>
      <c r="J336">
        <f t="shared" si="49"/>
        <v>730</v>
      </c>
      <c r="K336" t="s">
        <v>513</v>
      </c>
      <c r="L336" t="s">
        <v>654</v>
      </c>
      <c r="M336" t="str">
        <f t="shared" si="47"/>
        <v>Stress</v>
      </c>
      <c r="N336" t="s">
        <v>651</v>
      </c>
      <c r="O336" t="s">
        <v>707</v>
      </c>
      <c r="R336" t="s">
        <v>408</v>
      </c>
      <c r="S336" t="s">
        <v>701</v>
      </c>
      <c r="T336" t="s">
        <v>695</v>
      </c>
      <c r="U336" t="s">
        <v>609</v>
      </c>
      <c r="V336" s="1" t="s">
        <v>774</v>
      </c>
      <c r="W336" s="1">
        <v>5.04E-9</v>
      </c>
      <c r="X336" s="1"/>
      <c r="Y336" s="4"/>
      <c r="AF336" s="3">
        <f>[55]Yang_etal_2011_Fig2a!B7</f>
        <v>9.8583524965684397</v>
      </c>
      <c r="AK336" t="s">
        <v>44</v>
      </c>
    </row>
    <row r="337" spans="1:37" hidden="1" x14ac:dyDescent="0.25">
      <c r="A337" t="s">
        <v>246</v>
      </c>
      <c r="B337" t="s">
        <v>233</v>
      </c>
      <c r="C337" t="s">
        <v>234</v>
      </c>
      <c r="D337" t="s">
        <v>149</v>
      </c>
      <c r="E337" t="s">
        <v>17</v>
      </c>
      <c r="F337" t="s">
        <v>69</v>
      </c>
      <c r="G337" t="s">
        <v>763</v>
      </c>
      <c r="H337" t="s">
        <v>760</v>
      </c>
      <c r="I337" t="s">
        <v>705</v>
      </c>
      <c r="J337">
        <f t="shared" si="49"/>
        <v>730</v>
      </c>
      <c r="K337" t="s">
        <v>513</v>
      </c>
      <c r="L337" t="s">
        <v>36</v>
      </c>
      <c r="M337" t="str">
        <f t="shared" si="47"/>
        <v>Control</v>
      </c>
      <c r="N337" t="s">
        <v>652</v>
      </c>
      <c r="O337" t="s">
        <v>707</v>
      </c>
      <c r="R337" t="s">
        <v>408</v>
      </c>
      <c r="S337" t="s">
        <v>701</v>
      </c>
      <c r="T337" t="s">
        <v>695</v>
      </c>
      <c r="U337" t="s">
        <v>609</v>
      </c>
      <c r="V337" s="1" t="s">
        <v>774</v>
      </c>
      <c r="W337" s="1">
        <v>5.8800000000000004E-9</v>
      </c>
      <c r="X337" s="1"/>
      <c r="Y337" s="4"/>
      <c r="AF337" s="3">
        <f>[55]Yang_etal_2011_Fig2a!B8</f>
        <v>8.42576251849475</v>
      </c>
      <c r="AK337" t="s">
        <v>44</v>
      </c>
    </row>
    <row r="338" spans="1:37" hidden="1" x14ac:dyDescent="0.25">
      <c r="A338" t="s">
        <v>246</v>
      </c>
      <c r="B338" t="s">
        <v>233</v>
      </c>
      <c r="C338" t="s">
        <v>234</v>
      </c>
      <c r="D338" t="s">
        <v>149</v>
      </c>
      <c r="E338" t="s">
        <v>17</v>
      </c>
      <c r="F338" t="s">
        <v>69</v>
      </c>
      <c r="G338" t="s">
        <v>763</v>
      </c>
      <c r="H338" t="s">
        <v>760</v>
      </c>
      <c r="I338" t="s">
        <v>705</v>
      </c>
      <c r="J338">
        <f t="shared" si="49"/>
        <v>730</v>
      </c>
      <c r="K338" t="s">
        <v>513</v>
      </c>
      <c r="L338" t="s">
        <v>648</v>
      </c>
      <c r="M338" t="s">
        <v>707</v>
      </c>
      <c r="N338" t="s">
        <v>652</v>
      </c>
      <c r="O338" t="s">
        <v>707</v>
      </c>
      <c r="R338" t="s">
        <v>408</v>
      </c>
      <c r="S338" t="s">
        <v>701</v>
      </c>
      <c r="T338" t="s">
        <v>695</v>
      </c>
      <c r="U338" t="s">
        <v>609</v>
      </c>
      <c r="V338" s="1" t="s">
        <v>774</v>
      </c>
      <c r="W338" s="1">
        <v>3.6900000000000003E-9</v>
      </c>
      <c r="X338" s="1"/>
      <c r="Y338" s="4"/>
      <c r="AF338" s="3">
        <f>[55]Yang_etal_2011_Fig2a!B9</f>
        <v>6.0959409594095897</v>
      </c>
      <c r="AK338" t="s">
        <v>44</v>
      </c>
    </row>
    <row r="339" spans="1:37" hidden="1" x14ac:dyDescent="0.25">
      <c r="A339" t="s">
        <v>246</v>
      </c>
      <c r="B339" t="s">
        <v>233</v>
      </c>
      <c r="C339" t="s">
        <v>234</v>
      </c>
      <c r="D339" t="s">
        <v>149</v>
      </c>
      <c r="E339" t="s">
        <v>17</v>
      </c>
      <c r="F339" t="s">
        <v>69</v>
      </c>
      <c r="G339" t="s">
        <v>763</v>
      </c>
      <c r="H339" t="s">
        <v>760</v>
      </c>
      <c r="I339" t="s">
        <v>705</v>
      </c>
      <c r="J339">
        <f t="shared" si="49"/>
        <v>730</v>
      </c>
      <c r="K339" t="s">
        <v>513</v>
      </c>
      <c r="L339" t="s">
        <v>654</v>
      </c>
      <c r="M339" t="s">
        <v>707</v>
      </c>
      <c r="N339" t="s">
        <v>652</v>
      </c>
      <c r="O339" t="s">
        <v>707</v>
      </c>
      <c r="R339" t="s">
        <v>408</v>
      </c>
      <c r="S339" t="s">
        <v>701</v>
      </c>
      <c r="T339" t="s">
        <v>695</v>
      </c>
      <c r="U339" t="s">
        <v>609</v>
      </c>
      <c r="V339" s="1" t="s">
        <v>774</v>
      </c>
      <c r="W339" s="1">
        <v>6.5100000000000001E-9</v>
      </c>
      <c r="X339" s="1"/>
      <c r="Y339" s="4"/>
      <c r="AF339" s="3">
        <f>[55]Yang_etal_2011_Fig2a!B10</f>
        <v>9.1118241617198699</v>
      </c>
      <c r="AK339" t="s">
        <v>44</v>
      </c>
    </row>
    <row r="340" spans="1:37" hidden="1" x14ac:dyDescent="0.25">
      <c r="A340" t="s">
        <v>246</v>
      </c>
      <c r="B340" t="s">
        <v>233</v>
      </c>
      <c r="C340" t="s">
        <v>234</v>
      </c>
      <c r="D340" t="s">
        <v>149</v>
      </c>
      <c r="E340" t="s">
        <v>17</v>
      </c>
      <c r="F340" t="s">
        <v>69</v>
      </c>
      <c r="G340" t="s">
        <v>763</v>
      </c>
      <c r="H340" t="s">
        <v>760</v>
      </c>
      <c r="I340" t="s">
        <v>705</v>
      </c>
      <c r="J340">
        <f t="shared" si="49"/>
        <v>730</v>
      </c>
      <c r="K340" t="s">
        <v>513</v>
      </c>
      <c r="L340" t="s">
        <v>36</v>
      </c>
      <c r="M340" t="str">
        <f t="shared" si="47"/>
        <v>Control</v>
      </c>
      <c r="N340" t="s">
        <v>652</v>
      </c>
      <c r="O340" t="s">
        <v>707</v>
      </c>
      <c r="R340" t="s">
        <v>408</v>
      </c>
      <c r="S340" t="s">
        <v>701</v>
      </c>
      <c r="T340" t="s">
        <v>695</v>
      </c>
      <c r="U340" t="s">
        <v>609</v>
      </c>
      <c r="V340" s="1" t="s">
        <v>774</v>
      </c>
      <c r="W340" s="1">
        <v>7.8800000000000001E-9</v>
      </c>
      <c r="X340" s="1"/>
      <c r="Y340" s="4"/>
      <c r="AF340" s="3">
        <f>[55]Yang_etal_2011_Fig2a!B11</f>
        <v>9.2337727038597599</v>
      </c>
      <c r="AK340" t="s">
        <v>44</v>
      </c>
    </row>
    <row r="341" spans="1:37" hidden="1" x14ac:dyDescent="0.25">
      <c r="A341" t="s">
        <v>246</v>
      </c>
      <c r="B341" t="s">
        <v>233</v>
      </c>
      <c r="C341" t="s">
        <v>234</v>
      </c>
      <c r="D341" t="s">
        <v>149</v>
      </c>
      <c r="E341" t="s">
        <v>17</v>
      </c>
      <c r="F341" t="s">
        <v>69</v>
      </c>
      <c r="G341" t="s">
        <v>763</v>
      </c>
      <c r="H341" t="s">
        <v>760</v>
      </c>
      <c r="I341" t="s">
        <v>705</v>
      </c>
      <c r="J341">
        <f t="shared" si="49"/>
        <v>730</v>
      </c>
      <c r="K341" t="s">
        <v>513</v>
      </c>
      <c r="L341" t="s">
        <v>648</v>
      </c>
      <c r="M341" t="s">
        <v>707</v>
      </c>
      <c r="N341" t="s">
        <v>652</v>
      </c>
      <c r="O341" t="s">
        <v>707</v>
      </c>
      <c r="R341" t="s">
        <v>408</v>
      </c>
      <c r="S341" t="s">
        <v>701</v>
      </c>
      <c r="T341" t="s">
        <v>695</v>
      </c>
      <c r="U341" t="s">
        <v>609</v>
      </c>
      <c r="V341" s="1" t="s">
        <v>774</v>
      </c>
      <c r="W341" s="1">
        <v>5.76E-9</v>
      </c>
      <c r="X341" s="1"/>
      <c r="Y341" s="4"/>
      <c r="AF341" s="3">
        <f>[55]Yang_etal_2011_Fig2a!B12</f>
        <v>7.1260180632496803</v>
      </c>
      <c r="AK341" t="s">
        <v>44</v>
      </c>
    </row>
    <row r="342" spans="1:37" hidden="1" x14ac:dyDescent="0.25">
      <c r="A342" t="s">
        <v>246</v>
      </c>
      <c r="B342" t="s">
        <v>233</v>
      </c>
      <c r="C342" t="s">
        <v>234</v>
      </c>
      <c r="D342" t="s">
        <v>149</v>
      </c>
      <c r="E342" t="s">
        <v>17</v>
      </c>
      <c r="F342" t="s">
        <v>69</v>
      </c>
      <c r="G342" t="s">
        <v>763</v>
      </c>
      <c r="H342" t="s">
        <v>760</v>
      </c>
      <c r="I342" t="s">
        <v>705</v>
      </c>
      <c r="J342">
        <f t="shared" si="49"/>
        <v>730</v>
      </c>
      <c r="K342" t="s">
        <v>513</v>
      </c>
      <c r="L342" t="s">
        <v>654</v>
      </c>
      <c r="M342" t="s">
        <v>707</v>
      </c>
      <c r="N342" t="s">
        <v>652</v>
      </c>
      <c r="O342" t="s">
        <v>707</v>
      </c>
      <c r="R342" t="s">
        <v>408</v>
      </c>
      <c r="S342" t="s">
        <v>701</v>
      </c>
      <c r="T342" t="s">
        <v>695</v>
      </c>
      <c r="U342" t="s">
        <v>609</v>
      </c>
      <c r="V342" s="1" t="s">
        <v>774</v>
      </c>
      <c r="W342" s="1">
        <v>8.3800000000000013E-9</v>
      </c>
      <c r="X342" s="1"/>
      <c r="Y342" s="4"/>
      <c r="AF342" s="3">
        <f>[55]Yang_etal_2011_Fig2a!B13</f>
        <v>10.1549815498154</v>
      </c>
      <c r="AK342" t="s">
        <v>44</v>
      </c>
    </row>
    <row r="343" spans="1:37" hidden="1" x14ac:dyDescent="0.25">
      <c r="A343" t="s">
        <v>246</v>
      </c>
      <c r="B343" t="s">
        <v>233</v>
      </c>
      <c r="C343" t="s">
        <v>234</v>
      </c>
      <c r="D343" t="s">
        <v>149</v>
      </c>
      <c r="E343" t="s">
        <v>17</v>
      </c>
      <c r="F343" t="s">
        <v>69</v>
      </c>
      <c r="G343" t="s">
        <v>763</v>
      </c>
      <c r="H343" t="s">
        <v>760</v>
      </c>
      <c r="I343" t="s">
        <v>705</v>
      </c>
      <c r="J343">
        <f t="shared" si="49"/>
        <v>730</v>
      </c>
      <c r="K343" t="s">
        <v>513</v>
      </c>
      <c r="L343" t="s">
        <v>36</v>
      </c>
      <c r="M343" t="str">
        <f t="shared" si="47"/>
        <v>Control</v>
      </c>
      <c r="N343" t="s">
        <v>653</v>
      </c>
      <c r="O343" t="s">
        <v>707</v>
      </c>
      <c r="R343" t="s">
        <v>408</v>
      </c>
      <c r="S343" t="s">
        <v>701</v>
      </c>
      <c r="T343" t="s">
        <v>695</v>
      </c>
      <c r="U343" t="s">
        <v>609</v>
      </c>
      <c r="V343" s="1" t="s">
        <v>774</v>
      </c>
      <c r="W343" s="1">
        <v>1.3700000000000002E-9</v>
      </c>
      <c r="X343" s="1"/>
      <c r="Y343" s="4"/>
      <c r="AF343" s="3">
        <f>[55]Yang_etal_2011_Fig2a!B14</f>
        <v>5.9774319482325202</v>
      </c>
      <c r="AK343" t="s">
        <v>44</v>
      </c>
    </row>
    <row r="344" spans="1:37" hidden="1" x14ac:dyDescent="0.25">
      <c r="A344" t="s">
        <v>246</v>
      </c>
      <c r="B344" t="s">
        <v>233</v>
      </c>
      <c r="C344" t="s">
        <v>234</v>
      </c>
      <c r="D344" t="s">
        <v>149</v>
      </c>
      <c r="E344" t="s">
        <v>17</v>
      </c>
      <c r="F344" t="s">
        <v>69</v>
      </c>
      <c r="G344" t="s">
        <v>763</v>
      </c>
      <c r="H344" t="s">
        <v>760</v>
      </c>
      <c r="I344" t="s">
        <v>705</v>
      </c>
      <c r="J344">
        <f t="shared" si="49"/>
        <v>730</v>
      </c>
      <c r="K344" t="s">
        <v>513</v>
      </c>
      <c r="L344" t="s">
        <v>648</v>
      </c>
      <c r="M344" t="s">
        <v>707</v>
      </c>
      <c r="N344" t="s">
        <v>653</v>
      </c>
      <c r="O344" t="s">
        <v>707</v>
      </c>
      <c r="R344" t="s">
        <v>408</v>
      </c>
      <c r="S344" t="s">
        <v>701</v>
      </c>
      <c r="T344" t="s">
        <v>695</v>
      </c>
      <c r="U344" t="s">
        <v>609</v>
      </c>
      <c r="V344" s="1" t="s">
        <v>774</v>
      </c>
      <c r="W344" s="1">
        <v>1.1000000000000001E-9</v>
      </c>
      <c r="X344" s="1"/>
      <c r="Y344" s="4"/>
      <c r="AF344" s="3">
        <f>[55]Yang_etal_2011_Fig2a!B15</f>
        <v>5.5309406290993799</v>
      </c>
      <c r="AK344" t="s">
        <v>44</v>
      </c>
    </row>
    <row r="345" spans="1:37" hidden="1" x14ac:dyDescent="0.25">
      <c r="A345" t="s">
        <v>246</v>
      </c>
      <c r="B345" t="s">
        <v>233</v>
      </c>
      <c r="C345" t="s">
        <v>234</v>
      </c>
      <c r="D345" t="s">
        <v>149</v>
      </c>
      <c r="E345" t="s">
        <v>17</v>
      </c>
      <c r="F345" t="s">
        <v>69</v>
      </c>
      <c r="G345" t="s">
        <v>763</v>
      </c>
      <c r="H345" t="s">
        <v>760</v>
      </c>
      <c r="I345" t="s">
        <v>705</v>
      </c>
      <c r="J345">
        <f t="shared" si="49"/>
        <v>730</v>
      </c>
      <c r="K345" t="s">
        <v>513</v>
      </c>
      <c r="L345" t="s">
        <v>654</v>
      </c>
      <c r="M345" t="s">
        <v>707</v>
      </c>
      <c r="N345" t="s">
        <v>653</v>
      </c>
      <c r="O345" t="s">
        <v>707</v>
      </c>
      <c r="R345" t="s">
        <v>408</v>
      </c>
      <c r="S345" t="s">
        <v>701</v>
      </c>
      <c r="T345" t="s">
        <v>695</v>
      </c>
      <c r="U345" t="s">
        <v>609</v>
      </c>
      <c r="V345" s="1" t="s">
        <v>774</v>
      </c>
      <c r="W345" s="1">
        <v>1.5400000000000001E-9</v>
      </c>
      <c r="X345" s="1"/>
      <c r="Y345" s="4"/>
      <c r="AF345" s="3">
        <f>[55]Yang_etal_2011_Fig2a!B16</f>
        <v>6.5450394303274102</v>
      </c>
      <c r="AK345" t="s">
        <v>44</v>
      </c>
    </row>
    <row r="346" spans="1:37" hidden="1" x14ac:dyDescent="0.25">
      <c r="A346" t="s">
        <v>777</v>
      </c>
      <c r="B346" t="s">
        <v>766</v>
      </c>
      <c r="C346" t="s">
        <v>767</v>
      </c>
      <c r="D346" t="s">
        <v>574</v>
      </c>
      <c r="E346" t="s">
        <v>17</v>
      </c>
      <c r="F346" t="s">
        <v>776</v>
      </c>
      <c r="G346" t="s">
        <v>776</v>
      </c>
      <c r="H346" t="s">
        <v>707</v>
      </c>
      <c r="I346" t="s">
        <v>775</v>
      </c>
      <c r="J346">
        <f>+AVERAGE(17,27)</f>
        <v>22</v>
      </c>
      <c r="K346" t="s">
        <v>629</v>
      </c>
      <c r="L346" t="s">
        <v>36</v>
      </c>
      <c r="M346" t="s">
        <v>36</v>
      </c>
      <c r="N346" t="s">
        <v>778</v>
      </c>
      <c r="O346" t="s">
        <v>707</v>
      </c>
      <c r="R346" t="s">
        <v>408</v>
      </c>
      <c r="S346" t="s">
        <v>701</v>
      </c>
      <c r="T346" t="s">
        <v>695</v>
      </c>
      <c r="U346" t="s">
        <v>609</v>
      </c>
      <c r="V346" s="1" t="s">
        <v>774</v>
      </c>
      <c r="W346" s="1">
        <v>1.1800000000000001E-10</v>
      </c>
      <c r="X346" s="1"/>
      <c r="Y346" s="1"/>
      <c r="Z346" s="1"/>
      <c r="AA346" s="1"/>
      <c r="AB346" s="1">
        <f>[56]Sheet1!B2</f>
        <v>5.3834586466165402E-8</v>
      </c>
      <c r="AC346" s="1"/>
      <c r="AD346">
        <v>19</v>
      </c>
      <c r="AE346">
        <v>460</v>
      </c>
      <c r="AF346" s="3">
        <v>3.7</v>
      </c>
      <c r="AG346" s="5"/>
      <c r="AH346" s="2">
        <v>0.13090000000000002</v>
      </c>
      <c r="AK346" t="s">
        <v>199</v>
      </c>
    </row>
    <row r="347" spans="1:37" hidden="1" x14ac:dyDescent="0.25">
      <c r="A347" t="s">
        <v>777</v>
      </c>
      <c r="B347" t="s">
        <v>766</v>
      </c>
      <c r="C347" t="s">
        <v>767</v>
      </c>
      <c r="D347" t="s">
        <v>574</v>
      </c>
      <c r="E347" t="s">
        <v>17</v>
      </c>
      <c r="F347" t="s">
        <v>776</v>
      </c>
      <c r="G347" t="s">
        <v>776</v>
      </c>
      <c r="H347" t="s">
        <v>707</v>
      </c>
      <c r="I347" t="s">
        <v>775</v>
      </c>
      <c r="J347">
        <f t="shared" ref="J347:J371" si="50">+AVERAGE(17,27)</f>
        <v>22</v>
      </c>
      <c r="K347" t="s">
        <v>629</v>
      </c>
      <c r="L347" t="s">
        <v>36</v>
      </c>
      <c r="M347" t="s">
        <v>36</v>
      </c>
      <c r="N347" t="s">
        <v>779</v>
      </c>
      <c r="O347" t="s">
        <v>707</v>
      </c>
      <c r="R347" t="s">
        <v>408</v>
      </c>
      <c r="S347" t="s">
        <v>701</v>
      </c>
      <c r="T347" t="s">
        <v>695</v>
      </c>
      <c r="U347" t="s">
        <v>609</v>
      </c>
      <c r="V347" s="1" t="s">
        <v>774</v>
      </c>
      <c r="W347" s="1">
        <v>1.5500000000000001E-10</v>
      </c>
      <c r="X347" s="1"/>
      <c r="Y347" s="1"/>
      <c r="Z347" s="1"/>
      <c r="AA347" s="1"/>
      <c r="AB347" s="1">
        <f>[56]Sheet1!B3</f>
        <v>3.6842105263157801E-8</v>
      </c>
      <c r="AC347" s="1"/>
      <c r="AD347">
        <v>27</v>
      </c>
      <c r="AE347">
        <v>680</v>
      </c>
      <c r="AF347" s="3">
        <v>5.0999999999999996</v>
      </c>
      <c r="AG347" s="5"/>
      <c r="AH347" s="2">
        <v>0.1237</v>
      </c>
      <c r="AK347" t="s">
        <v>199</v>
      </c>
    </row>
    <row r="348" spans="1:37" hidden="1" x14ac:dyDescent="0.25">
      <c r="A348" t="s">
        <v>777</v>
      </c>
      <c r="B348" t="s">
        <v>766</v>
      </c>
      <c r="C348" t="s">
        <v>767</v>
      </c>
      <c r="D348" t="s">
        <v>574</v>
      </c>
      <c r="E348" t="s">
        <v>17</v>
      </c>
      <c r="F348" t="s">
        <v>776</v>
      </c>
      <c r="G348" t="s">
        <v>776</v>
      </c>
      <c r="H348" t="s">
        <v>707</v>
      </c>
      <c r="I348" t="s">
        <v>775</v>
      </c>
      <c r="J348">
        <f t="shared" si="50"/>
        <v>22</v>
      </c>
      <c r="K348" t="s">
        <v>629</v>
      </c>
      <c r="L348" t="s">
        <v>36</v>
      </c>
      <c r="M348" t="s">
        <v>36</v>
      </c>
      <c r="N348" t="s">
        <v>780</v>
      </c>
      <c r="O348" t="s">
        <v>707</v>
      </c>
      <c r="R348" t="s">
        <v>408</v>
      </c>
      <c r="S348" t="s">
        <v>701</v>
      </c>
      <c r="T348" t="s">
        <v>695</v>
      </c>
      <c r="U348" t="s">
        <v>609</v>
      </c>
      <c r="V348" s="1" t="s">
        <v>774</v>
      </c>
      <c r="W348" s="1">
        <v>1.5900000000000002E-10</v>
      </c>
      <c r="X348" s="1"/>
      <c r="Y348" s="1"/>
      <c r="Z348" s="1"/>
      <c r="AA348" s="1"/>
      <c r="AB348" s="1">
        <f>[56]Sheet1!B4</f>
        <v>4.796992481203E-8</v>
      </c>
      <c r="AC348" s="1"/>
      <c r="AD348">
        <v>21</v>
      </c>
      <c r="AE348">
        <v>500</v>
      </c>
      <c r="AF348" s="3">
        <v>6.1</v>
      </c>
      <c r="AG348" s="5"/>
      <c r="AH348" s="2">
        <v>0.13250000000000001</v>
      </c>
      <c r="AK348" t="s">
        <v>199</v>
      </c>
    </row>
    <row r="349" spans="1:37" hidden="1" x14ac:dyDescent="0.25">
      <c r="A349" t="s">
        <v>777</v>
      </c>
      <c r="B349" t="s">
        <v>766</v>
      </c>
      <c r="C349" t="s">
        <v>767</v>
      </c>
      <c r="D349" t="s">
        <v>574</v>
      </c>
      <c r="E349" t="s">
        <v>17</v>
      </c>
      <c r="F349" t="s">
        <v>776</v>
      </c>
      <c r="G349" t="s">
        <v>776</v>
      </c>
      <c r="H349" t="s">
        <v>707</v>
      </c>
      <c r="I349" t="s">
        <v>775</v>
      </c>
      <c r="J349">
        <f t="shared" si="50"/>
        <v>22</v>
      </c>
      <c r="K349" t="s">
        <v>629</v>
      </c>
      <c r="L349" t="s">
        <v>36</v>
      </c>
      <c r="M349" t="s">
        <v>36</v>
      </c>
      <c r="N349" t="s">
        <v>781</v>
      </c>
      <c r="O349" t="s">
        <v>707</v>
      </c>
      <c r="R349" t="s">
        <v>408</v>
      </c>
      <c r="S349" t="s">
        <v>701</v>
      </c>
      <c r="T349" t="s">
        <v>695</v>
      </c>
      <c r="U349" t="s">
        <v>609</v>
      </c>
      <c r="V349" s="1" t="s">
        <v>774</v>
      </c>
      <c r="W349" s="1">
        <v>1.96E-10</v>
      </c>
      <c r="X349" s="1"/>
      <c r="Y349" s="1"/>
      <c r="Z349" s="1"/>
      <c r="AA349" s="1"/>
      <c r="AB349" s="1">
        <f>[56]Sheet1!B5</f>
        <v>5.23308270676691E-8</v>
      </c>
      <c r="AC349" s="1"/>
      <c r="AD349">
        <v>27</v>
      </c>
      <c r="AE349">
        <v>680</v>
      </c>
      <c r="AF349" s="3">
        <v>5</v>
      </c>
      <c r="AG349" s="5"/>
      <c r="AH349" s="2">
        <v>0.12329999999999999</v>
      </c>
      <c r="AK349" t="s">
        <v>199</v>
      </c>
    </row>
    <row r="350" spans="1:37" hidden="1" x14ac:dyDescent="0.25">
      <c r="A350" t="s">
        <v>777</v>
      </c>
      <c r="B350" t="s">
        <v>766</v>
      </c>
      <c r="C350" t="s">
        <v>767</v>
      </c>
      <c r="D350" t="s">
        <v>574</v>
      </c>
      <c r="E350" t="s">
        <v>17</v>
      </c>
      <c r="F350" t="s">
        <v>776</v>
      </c>
      <c r="G350" t="s">
        <v>776</v>
      </c>
      <c r="H350" t="s">
        <v>707</v>
      </c>
      <c r="I350" t="s">
        <v>775</v>
      </c>
      <c r="J350">
        <f t="shared" si="50"/>
        <v>22</v>
      </c>
      <c r="K350" t="s">
        <v>629</v>
      </c>
      <c r="L350" t="s">
        <v>36</v>
      </c>
      <c r="M350" t="s">
        <v>36</v>
      </c>
      <c r="N350" t="s">
        <v>782</v>
      </c>
      <c r="O350" t="s">
        <v>707</v>
      </c>
      <c r="R350" t="s">
        <v>408</v>
      </c>
      <c r="S350" t="s">
        <v>701</v>
      </c>
      <c r="T350" t="s">
        <v>695</v>
      </c>
      <c r="U350" t="s">
        <v>609</v>
      </c>
      <c r="V350" s="1" t="s">
        <v>774</v>
      </c>
      <c r="W350" s="1">
        <v>1.9900000000000001E-10</v>
      </c>
      <c r="X350" s="1"/>
      <c r="Y350" s="1"/>
      <c r="Z350" s="1"/>
      <c r="AA350" s="1"/>
      <c r="AB350" s="1">
        <f>[56]Sheet1!B6</f>
        <v>7.2180451127819505E-8</v>
      </c>
      <c r="AC350" s="1"/>
      <c r="AD350">
        <v>20</v>
      </c>
      <c r="AE350">
        <v>500</v>
      </c>
      <c r="AF350" s="3">
        <v>4.8</v>
      </c>
      <c r="AG350" s="5"/>
      <c r="AH350" s="2">
        <v>0.12990000000000002</v>
      </c>
      <c r="AK350" t="s">
        <v>199</v>
      </c>
    </row>
    <row r="351" spans="1:37" hidden="1" x14ac:dyDescent="0.25">
      <c r="A351" t="s">
        <v>777</v>
      </c>
      <c r="B351" t="s">
        <v>766</v>
      </c>
      <c r="C351" t="s">
        <v>767</v>
      </c>
      <c r="D351" t="s">
        <v>574</v>
      </c>
      <c r="E351" t="s">
        <v>17</v>
      </c>
      <c r="F351" t="s">
        <v>776</v>
      </c>
      <c r="G351" t="s">
        <v>776</v>
      </c>
      <c r="H351" t="s">
        <v>707</v>
      </c>
      <c r="I351" t="s">
        <v>775</v>
      </c>
      <c r="J351">
        <f t="shared" si="50"/>
        <v>22</v>
      </c>
      <c r="K351" t="s">
        <v>629</v>
      </c>
      <c r="L351" t="s">
        <v>36</v>
      </c>
      <c r="M351" t="s">
        <v>36</v>
      </c>
      <c r="N351" t="s">
        <v>783</v>
      </c>
      <c r="O351" t="s">
        <v>707</v>
      </c>
      <c r="R351" t="s">
        <v>408</v>
      </c>
      <c r="S351" t="s">
        <v>701</v>
      </c>
      <c r="T351" t="s">
        <v>695</v>
      </c>
      <c r="U351" t="s">
        <v>609</v>
      </c>
      <c r="V351" s="1" t="s">
        <v>774</v>
      </c>
      <c r="W351" s="1">
        <v>1.51E-10</v>
      </c>
      <c r="X351" s="1"/>
      <c r="Y351" s="1"/>
      <c r="Z351" s="1"/>
      <c r="AA351" s="1"/>
      <c r="AB351" s="1">
        <f>[56]Sheet1!B7</f>
        <v>4.5413533834586399E-8</v>
      </c>
      <c r="AC351" s="1"/>
      <c r="AD351">
        <v>23</v>
      </c>
      <c r="AE351">
        <v>550</v>
      </c>
      <c r="AF351" s="3">
        <v>6.4</v>
      </c>
      <c r="AG351" s="5"/>
      <c r="AH351" s="2">
        <v>0.13100000000000001</v>
      </c>
      <c r="AK351" t="s">
        <v>199</v>
      </c>
    </row>
    <row r="352" spans="1:37" hidden="1" x14ac:dyDescent="0.25">
      <c r="A352" t="s">
        <v>777</v>
      </c>
      <c r="B352" t="s">
        <v>766</v>
      </c>
      <c r="C352" t="s">
        <v>767</v>
      </c>
      <c r="D352" t="s">
        <v>574</v>
      </c>
      <c r="E352" t="s">
        <v>17</v>
      </c>
      <c r="F352" t="s">
        <v>776</v>
      </c>
      <c r="G352" t="s">
        <v>776</v>
      </c>
      <c r="H352" t="s">
        <v>707</v>
      </c>
      <c r="I352" t="s">
        <v>775</v>
      </c>
      <c r="J352">
        <f t="shared" si="50"/>
        <v>22</v>
      </c>
      <c r="K352" t="s">
        <v>629</v>
      </c>
      <c r="L352" t="s">
        <v>36</v>
      </c>
      <c r="M352" t="s">
        <v>36</v>
      </c>
      <c r="N352" t="s">
        <v>784</v>
      </c>
      <c r="O352" t="s">
        <v>707</v>
      </c>
      <c r="R352" t="s">
        <v>408</v>
      </c>
      <c r="S352" t="s">
        <v>701</v>
      </c>
      <c r="T352" t="s">
        <v>695</v>
      </c>
      <c r="U352" t="s">
        <v>609</v>
      </c>
      <c r="V352" s="1" t="s">
        <v>774</v>
      </c>
      <c r="W352" s="1">
        <v>2.0800000000000001E-10</v>
      </c>
      <c r="X352" s="1"/>
      <c r="Y352" s="1"/>
      <c r="Z352" s="1"/>
      <c r="AA352" s="1"/>
      <c r="AB352" s="1">
        <f>[56]Sheet1!B8</f>
        <v>7.2631578947368396E-8</v>
      </c>
      <c r="AC352" s="1"/>
      <c r="AD352">
        <v>25</v>
      </c>
      <c r="AE352">
        <v>590</v>
      </c>
      <c r="AF352" s="3">
        <v>4.9000000000000004</v>
      </c>
      <c r="AG352" s="5"/>
      <c r="AH352" s="2">
        <v>0.1338</v>
      </c>
      <c r="AK352" t="s">
        <v>199</v>
      </c>
    </row>
    <row r="353" spans="1:37" hidden="1" x14ac:dyDescent="0.25">
      <c r="A353" t="s">
        <v>777</v>
      </c>
      <c r="B353" t="s">
        <v>766</v>
      </c>
      <c r="C353" t="s">
        <v>767</v>
      </c>
      <c r="D353" t="s">
        <v>574</v>
      </c>
      <c r="E353" t="s">
        <v>17</v>
      </c>
      <c r="F353" t="s">
        <v>776</v>
      </c>
      <c r="G353" t="s">
        <v>776</v>
      </c>
      <c r="H353" t="s">
        <v>707</v>
      </c>
      <c r="I353" t="s">
        <v>775</v>
      </c>
      <c r="J353">
        <f t="shared" si="50"/>
        <v>22</v>
      </c>
      <c r="K353" t="s">
        <v>629</v>
      </c>
      <c r="L353" t="s">
        <v>36</v>
      </c>
      <c r="M353" t="s">
        <v>36</v>
      </c>
      <c r="N353" t="s">
        <v>785</v>
      </c>
      <c r="O353" t="s">
        <v>707</v>
      </c>
      <c r="R353" t="s">
        <v>408</v>
      </c>
      <c r="S353" t="s">
        <v>701</v>
      </c>
      <c r="T353" t="s">
        <v>695</v>
      </c>
      <c r="U353" t="s">
        <v>609</v>
      </c>
      <c r="V353" s="1" t="s">
        <v>774</v>
      </c>
      <c r="W353" s="1">
        <v>1.0300000000000001E-10</v>
      </c>
      <c r="X353" s="1"/>
      <c r="Y353" s="1"/>
      <c r="Z353" s="1"/>
      <c r="AA353" s="1"/>
      <c r="AB353" s="1">
        <f>[56]Sheet1!B9</f>
        <v>4.6917293233082602E-8</v>
      </c>
      <c r="AC353" s="1"/>
      <c r="AD353">
        <v>24</v>
      </c>
      <c r="AE353">
        <v>560</v>
      </c>
      <c r="AF353" s="3">
        <v>4.2</v>
      </c>
      <c r="AG353" s="5"/>
      <c r="AH353" s="2">
        <v>0.13880000000000001</v>
      </c>
      <c r="AK353" t="s">
        <v>199</v>
      </c>
    </row>
    <row r="354" spans="1:37" hidden="1" x14ac:dyDescent="0.25">
      <c r="A354" t="s">
        <v>777</v>
      </c>
      <c r="B354" t="s">
        <v>766</v>
      </c>
      <c r="C354" t="s">
        <v>767</v>
      </c>
      <c r="D354" t="s">
        <v>574</v>
      </c>
      <c r="E354" t="s">
        <v>17</v>
      </c>
      <c r="F354" t="s">
        <v>776</v>
      </c>
      <c r="G354" t="s">
        <v>776</v>
      </c>
      <c r="H354" t="s">
        <v>707</v>
      </c>
      <c r="I354" t="s">
        <v>775</v>
      </c>
      <c r="J354">
        <f t="shared" si="50"/>
        <v>22</v>
      </c>
      <c r="K354" t="s">
        <v>629</v>
      </c>
      <c r="L354" t="s">
        <v>36</v>
      </c>
      <c r="M354" t="s">
        <v>36</v>
      </c>
      <c r="N354" t="s">
        <v>786</v>
      </c>
      <c r="O354" t="s">
        <v>707</v>
      </c>
      <c r="R354" t="s">
        <v>408</v>
      </c>
      <c r="S354" t="s">
        <v>701</v>
      </c>
      <c r="T354" t="s">
        <v>695</v>
      </c>
      <c r="U354" t="s">
        <v>609</v>
      </c>
      <c r="V354" s="1" t="s">
        <v>774</v>
      </c>
      <c r="W354" s="1">
        <v>1.26E-10</v>
      </c>
      <c r="X354" s="1"/>
      <c r="Y354" s="1"/>
      <c r="Z354" s="1"/>
      <c r="AA354" s="1"/>
      <c r="AB354" s="1">
        <f>[56]Sheet1!B10</f>
        <v>4.8872180451127802E-8</v>
      </c>
      <c r="AC354" s="1"/>
      <c r="AD354">
        <v>13</v>
      </c>
      <c r="AE354">
        <v>380</v>
      </c>
      <c r="AF354" s="3">
        <v>5.6</v>
      </c>
      <c r="AG354" s="5"/>
      <c r="AH354" s="2">
        <v>0.1263</v>
      </c>
      <c r="AK354" t="s">
        <v>199</v>
      </c>
    </row>
    <row r="355" spans="1:37" hidden="1" x14ac:dyDescent="0.25">
      <c r="A355" t="s">
        <v>777</v>
      </c>
      <c r="B355" t="s">
        <v>766</v>
      </c>
      <c r="C355" t="s">
        <v>767</v>
      </c>
      <c r="D355" t="s">
        <v>574</v>
      </c>
      <c r="E355" t="s">
        <v>17</v>
      </c>
      <c r="F355" t="s">
        <v>776</v>
      </c>
      <c r="G355" t="s">
        <v>776</v>
      </c>
      <c r="H355" t="s">
        <v>707</v>
      </c>
      <c r="I355" t="s">
        <v>775</v>
      </c>
      <c r="J355">
        <f t="shared" si="50"/>
        <v>22</v>
      </c>
      <c r="K355" t="s">
        <v>629</v>
      </c>
      <c r="L355" t="s">
        <v>36</v>
      </c>
      <c r="M355" t="s">
        <v>36</v>
      </c>
      <c r="N355" t="s">
        <v>787</v>
      </c>
      <c r="O355" t="s">
        <v>707</v>
      </c>
      <c r="R355" t="s">
        <v>408</v>
      </c>
      <c r="S355" t="s">
        <v>701</v>
      </c>
      <c r="T355" t="s">
        <v>695</v>
      </c>
      <c r="U355" t="s">
        <v>609</v>
      </c>
      <c r="V355" s="1" t="s">
        <v>774</v>
      </c>
      <c r="W355" s="1">
        <v>1.8700000000000003E-10</v>
      </c>
      <c r="X355" s="1"/>
      <c r="Y355" s="1"/>
      <c r="Z355" s="1"/>
      <c r="AA355" s="1"/>
      <c r="AB355" s="1">
        <f>[56]Sheet1!B11</f>
        <v>5.3082706766917201E-8</v>
      </c>
      <c r="AC355" s="1"/>
      <c r="AD355">
        <v>19</v>
      </c>
      <c r="AE355">
        <v>450</v>
      </c>
      <c r="AF355" s="3">
        <v>5.4</v>
      </c>
      <c r="AG355" s="5"/>
      <c r="AH355" s="2">
        <v>0.12830000000000003</v>
      </c>
      <c r="AK355" t="s">
        <v>199</v>
      </c>
    </row>
    <row r="356" spans="1:37" hidden="1" x14ac:dyDescent="0.25">
      <c r="A356" t="s">
        <v>777</v>
      </c>
      <c r="B356" t="s">
        <v>766</v>
      </c>
      <c r="C356" t="s">
        <v>767</v>
      </c>
      <c r="D356" t="s">
        <v>574</v>
      </c>
      <c r="E356" t="s">
        <v>17</v>
      </c>
      <c r="F356" t="s">
        <v>776</v>
      </c>
      <c r="G356" t="s">
        <v>776</v>
      </c>
      <c r="H356" t="s">
        <v>707</v>
      </c>
      <c r="I356" t="s">
        <v>775</v>
      </c>
      <c r="J356">
        <f t="shared" si="50"/>
        <v>22</v>
      </c>
      <c r="K356" t="s">
        <v>629</v>
      </c>
      <c r="L356" t="s">
        <v>36</v>
      </c>
      <c r="M356" t="s">
        <v>36</v>
      </c>
      <c r="N356" t="s">
        <v>788</v>
      </c>
      <c r="O356" t="s">
        <v>707</v>
      </c>
      <c r="R356" t="s">
        <v>408</v>
      </c>
      <c r="S356" t="s">
        <v>701</v>
      </c>
      <c r="T356" t="s">
        <v>695</v>
      </c>
      <c r="U356" t="s">
        <v>609</v>
      </c>
      <c r="V356" s="1" t="s">
        <v>774</v>
      </c>
      <c r="W356" s="1">
        <v>1.1100000000000002E-10</v>
      </c>
      <c r="X356" s="1"/>
      <c r="Y356" s="1"/>
      <c r="Z356" s="1"/>
      <c r="AA356" s="1"/>
      <c r="AB356" s="1">
        <f>[56]Sheet1!B12</f>
        <v>5.72932330827067E-8</v>
      </c>
      <c r="AC356" s="1"/>
      <c r="AD356">
        <v>35</v>
      </c>
      <c r="AE356">
        <v>730</v>
      </c>
      <c r="AF356" s="3">
        <v>4.0999999999999996</v>
      </c>
      <c r="AG356" s="5"/>
      <c r="AH356" s="2">
        <v>0.14299999999999999</v>
      </c>
      <c r="AK356" t="s">
        <v>199</v>
      </c>
    </row>
    <row r="357" spans="1:37" hidden="1" x14ac:dyDescent="0.25">
      <c r="A357" t="s">
        <v>777</v>
      </c>
      <c r="B357" t="s">
        <v>766</v>
      </c>
      <c r="C357" t="s">
        <v>767</v>
      </c>
      <c r="D357" t="s">
        <v>574</v>
      </c>
      <c r="E357" t="s">
        <v>17</v>
      </c>
      <c r="F357" t="s">
        <v>776</v>
      </c>
      <c r="G357" t="s">
        <v>776</v>
      </c>
      <c r="H357" t="s">
        <v>707</v>
      </c>
      <c r="I357" t="s">
        <v>775</v>
      </c>
      <c r="J357">
        <f t="shared" si="50"/>
        <v>22</v>
      </c>
      <c r="K357" t="s">
        <v>629</v>
      </c>
      <c r="L357" t="s">
        <v>36</v>
      </c>
      <c r="M357" t="s">
        <v>36</v>
      </c>
      <c r="N357" t="s">
        <v>789</v>
      </c>
      <c r="O357" t="s">
        <v>707</v>
      </c>
      <c r="R357" t="s">
        <v>408</v>
      </c>
      <c r="S357" t="s">
        <v>701</v>
      </c>
      <c r="T357" t="s">
        <v>695</v>
      </c>
      <c r="U357" t="s">
        <v>609</v>
      </c>
      <c r="V357" s="1" t="s">
        <v>774</v>
      </c>
      <c r="W357" s="1">
        <v>2.4E-10</v>
      </c>
      <c r="X357" s="1"/>
      <c r="Y357" s="1"/>
      <c r="Z357" s="1"/>
      <c r="AA357" s="1"/>
      <c r="AB357" s="1">
        <f>[56]Sheet1!B13</f>
        <v>6.5112781954887196E-8</v>
      </c>
      <c r="AC357" s="1"/>
      <c r="AD357">
        <v>28</v>
      </c>
      <c r="AE357">
        <v>670</v>
      </c>
      <c r="AF357" s="3">
        <v>5.6</v>
      </c>
      <c r="AG357" s="5"/>
      <c r="AH357" s="2">
        <v>0.13290000000000002</v>
      </c>
      <c r="AK357" t="s">
        <v>199</v>
      </c>
    </row>
    <row r="358" spans="1:37" hidden="1" x14ac:dyDescent="0.25">
      <c r="A358" t="s">
        <v>777</v>
      </c>
      <c r="B358" t="s">
        <v>766</v>
      </c>
      <c r="C358" t="s">
        <v>767</v>
      </c>
      <c r="D358" t="s">
        <v>574</v>
      </c>
      <c r="E358" t="s">
        <v>17</v>
      </c>
      <c r="F358" t="s">
        <v>776</v>
      </c>
      <c r="G358" t="s">
        <v>776</v>
      </c>
      <c r="H358" t="s">
        <v>707</v>
      </c>
      <c r="I358" t="s">
        <v>775</v>
      </c>
      <c r="J358">
        <f t="shared" si="50"/>
        <v>22</v>
      </c>
      <c r="K358" t="s">
        <v>629</v>
      </c>
      <c r="L358" t="s">
        <v>36</v>
      </c>
      <c r="M358" t="s">
        <v>36</v>
      </c>
      <c r="N358" t="s">
        <v>790</v>
      </c>
      <c r="O358" t="s">
        <v>707</v>
      </c>
      <c r="R358" t="s">
        <v>408</v>
      </c>
      <c r="S358" t="s">
        <v>701</v>
      </c>
      <c r="T358" t="s">
        <v>695</v>
      </c>
      <c r="U358" t="s">
        <v>609</v>
      </c>
      <c r="V358" s="1" t="s">
        <v>774</v>
      </c>
      <c r="W358" s="1">
        <v>2.3700000000000001E-10</v>
      </c>
      <c r="X358" s="1"/>
      <c r="Y358" s="1"/>
      <c r="Z358" s="1"/>
      <c r="AA358" s="1"/>
      <c r="AB358" s="1">
        <f>[56]Sheet1!B14</f>
        <v>6.6616541353383399E-8</v>
      </c>
      <c r="AC358" s="1"/>
      <c r="AD358">
        <v>26</v>
      </c>
      <c r="AE358">
        <v>610</v>
      </c>
      <c r="AF358" s="3">
        <v>6.4</v>
      </c>
      <c r="AG358" s="5"/>
      <c r="AH358" s="2">
        <v>0.13159999999999999</v>
      </c>
      <c r="AK358" t="s">
        <v>199</v>
      </c>
    </row>
    <row r="359" spans="1:37" hidden="1" x14ac:dyDescent="0.25">
      <c r="A359" t="s">
        <v>777</v>
      </c>
      <c r="B359" t="s">
        <v>766</v>
      </c>
      <c r="C359" t="s">
        <v>767</v>
      </c>
      <c r="D359" t="s">
        <v>574</v>
      </c>
      <c r="E359" t="s">
        <v>17</v>
      </c>
      <c r="F359" t="s">
        <v>776</v>
      </c>
      <c r="G359" t="s">
        <v>776</v>
      </c>
      <c r="H359" t="s">
        <v>707</v>
      </c>
      <c r="I359" t="s">
        <v>775</v>
      </c>
      <c r="J359">
        <f t="shared" si="50"/>
        <v>22</v>
      </c>
      <c r="K359" t="s">
        <v>629</v>
      </c>
      <c r="L359" t="s">
        <v>703</v>
      </c>
      <c r="M359" t="s">
        <v>791</v>
      </c>
      <c r="N359" t="s">
        <v>778</v>
      </c>
      <c r="O359" t="s">
        <v>707</v>
      </c>
      <c r="R359" t="s">
        <v>408</v>
      </c>
      <c r="S359" t="s">
        <v>701</v>
      </c>
      <c r="T359" t="s">
        <v>695</v>
      </c>
      <c r="U359" t="s">
        <v>609</v>
      </c>
      <c r="V359" s="1" t="s">
        <v>774</v>
      </c>
      <c r="W359" s="1">
        <f>+W346*[57]Sheet1!$B2/100</f>
        <v>7.5442622950819688E-11</v>
      </c>
      <c r="X359" s="1"/>
      <c r="Y359" s="1"/>
      <c r="Z359" s="1"/>
      <c r="AA359" s="1"/>
      <c r="AB359" s="1">
        <f>+AB346*[57]Sheet1!$B2/100</f>
        <v>3.4418833970171323E-8</v>
      </c>
      <c r="AC359" s="1"/>
      <c r="AD359">
        <v>19</v>
      </c>
      <c r="AE359">
        <v>460</v>
      </c>
      <c r="AF359" s="3">
        <v>3.7</v>
      </c>
      <c r="AG359" s="5"/>
      <c r="AH359" s="2">
        <v>0.13090000000000002</v>
      </c>
      <c r="AK359" t="s">
        <v>199</v>
      </c>
    </row>
    <row r="360" spans="1:37" hidden="1" x14ac:dyDescent="0.25">
      <c r="A360" t="s">
        <v>777</v>
      </c>
      <c r="B360" t="s">
        <v>766</v>
      </c>
      <c r="C360" t="s">
        <v>767</v>
      </c>
      <c r="D360" t="s">
        <v>574</v>
      </c>
      <c r="E360" t="s">
        <v>17</v>
      </c>
      <c r="F360" t="s">
        <v>776</v>
      </c>
      <c r="G360" t="s">
        <v>776</v>
      </c>
      <c r="H360" t="s">
        <v>707</v>
      </c>
      <c r="I360" t="s">
        <v>775</v>
      </c>
      <c r="J360">
        <f t="shared" si="50"/>
        <v>22</v>
      </c>
      <c r="K360" t="s">
        <v>629</v>
      </c>
      <c r="L360" t="s">
        <v>703</v>
      </c>
      <c r="M360" t="s">
        <v>791</v>
      </c>
      <c r="N360" t="s">
        <v>779</v>
      </c>
      <c r="O360" t="s">
        <v>707</v>
      </c>
      <c r="R360" t="s">
        <v>408</v>
      </c>
      <c r="S360" t="s">
        <v>701</v>
      </c>
      <c r="T360" t="s">
        <v>695</v>
      </c>
      <c r="U360" t="s">
        <v>609</v>
      </c>
      <c r="V360" s="1" t="s">
        <v>774</v>
      </c>
      <c r="W360" s="1">
        <f>+W347*[57]Sheet1!$B3/100</f>
        <v>6.40327868852458E-11</v>
      </c>
      <c r="X360" s="1"/>
      <c r="Y360" s="1"/>
      <c r="Z360" s="1"/>
      <c r="AA360" s="1"/>
      <c r="AB360" s="1">
        <f>+AB347*[57]Sheet1!$B3/100</f>
        <v>1.5220017256255331E-8</v>
      </c>
      <c r="AC360" s="1"/>
      <c r="AD360">
        <v>27</v>
      </c>
      <c r="AE360">
        <v>680</v>
      </c>
      <c r="AF360" s="3">
        <v>5.0999999999999996</v>
      </c>
      <c r="AG360" s="5"/>
      <c r="AH360" s="2">
        <v>0.1237</v>
      </c>
      <c r="AK360" t="s">
        <v>199</v>
      </c>
    </row>
    <row r="361" spans="1:37" hidden="1" x14ac:dyDescent="0.25">
      <c r="A361" t="s">
        <v>777</v>
      </c>
      <c r="B361" t="s">
        <v>766</v>
      </c>
      <c r="C361" t="s">
        <v>767</v>
      </c>
      <c r="D361" t="s">
        <v>574</v>
      </c>
      <c r="E361" t="s">
        <v>17</v>
      </c>
      <c r="F361" t="s">
        <v>776</v>
      </c>
      <c r="G361" t="s">
        <v>776</v>
      </c>
      <c r="H361" t="s">
        <v>707</v>
      </c>
      <c r="I361" t="s">
        <v>775</v>
      </c>
      <c r="J361">
        <f t="shared" si="50"/>
        <v>22</v>
      </c>
      <c r="K361" t="s">
        <v>629</v>
      </c>
      <c r="L361" t="s">
        <v>703</v>
      </c>
      <c r="M361" t="s">
        <v>791</v>
      </c>
      <c r="N361" t="s">
        <v>780</v>
      </c>
      <c r="O361" t="s">
        <v>707</v>
      </c>
      <c r="R361" t="s">
        <v>408</v>
      </c>
      <c r="S361" t="s">
        <v>701</v>
      </c>
      <c r="T361" t="s">
        <v>695</v>
      </c>
      <c r="U361" t="s">
        <v>609</v>
      </c>
      <c r="V361" s="1" t="s">
        <v>774</v>
      </c>
      <c r="W361" s="1">
        <f>+W348*[57]Sheet1!$B4/100</f>
        <v>5.3695081967212981E-11</v>
      </c>
      <c r="X361" s="1"/>
      <c r="Y361" s="1"/>
      <c r="Z361" s="1"/>
      <c r="AA361" s="1"/>
      <c r="AB361" s="1">
        <f>+AB348*[57]Sheet1!$B4/100</f>
        <v>1.61996795266855E-8</v>
      </c>
      <c r="AC361" s="1"/>
      <c r="AD361">
        <v>21</v>
      </c>
      <c r="AE361">
        <v>500</v>
      </c>
      <c r="AF361" s="3">
        <v>6.1</v>
      </c>
      <c r="AG361" s="5"/>
      <c r="AH361" s="2">
        <v>0.13250000000000001</v>
      </c>
      <c r="AK361" t="s">
        <v>199</v>
      </c>
    </row>
    <row r="362" spans="1:37" hidden="1" x14ac:dyDescent="0.25">
      <c r="A362" t="s">
        <v>777</v>
      </c>
      <c r="B362" t="s">
        <v>766</v>
      </c>
      <c r="C362" t="s">
        <v>767</v>
      </c>
      <c r="D362" t="s">
        <v>574</v>
      </c>
      <c r="E362" t="s">
        <v>17</v>
      </c>
      <c r="F362" t="s">
        <v>776</v>
      </c>
      <c r="G362" t="s">
        <v>776</v>
      </c>
      <c r="H362" t="s">
        <v>707</v>
      </c>
      <c r="I362" t="s">
        <v>775</v>
      </c>
      <c r="J362">
        <f t="shared" si="50"/>
        <v>22</v>
      </c>
      <c r="K362" t="s">
        <v>629</v>
      </c>
      <c r="L362" t="s">
        <v>703</v>
      </c>
      <c r="M362" t="s">
        <v>791</v>
      </c>
      <c r="N362" t="s">
        <v>781</v>
      </c>
      <c r="O362" t="s">
        <v>707</v>
      </c>
      <c r="R362" t="s">
        <v>408</v>
      </c>
      <c r="S362" t="s">
        <v>701</v>
      </c>
      <c r="T362" t="s">
        <v>695</v>
      </c>
      <c r="U362" t="s">
        <v>609</v>
      </c>
      <c r="V362" s="1" t="s">
        <v>774</v>
      </c>
      <c r="W362" s="1">
        <f>+W349*[57]Sheet1!$B5/100</f>
        <v>8.9967213114753901E-11</v>
      </c>
      <c r="X362" s="1"/>
      <c r="Y362" s="1"/>
      <c r="Z362" s="1"/>
      <c r="AA362" s="1"/>
      <c r="AB362" s="1">
        <f>+AB349*[57]Sheet1!$B5/100</f>
        <v>2.4020707506471012E-8</v>
      </c>
      <c r="AC362" s="1"/>
      <c r="AD362">
        <v>27</v>
      </c>
      <c r="AE362">
        <v>680</v>
      </c>
      <c r="AF362" s="3">
        <v>5</v>
      </c>
      <c r="AG362" s="5"/>
      <c r="AH362" s="2">
        <v>0.12329999999999999</v>
      </c>
      <c r="AK362" t="s">
        <v>199</v>
      </c>
    </row>
    <row r="363" spans="1:37" hidden="1" x14ac:dyDescent="0.25">
      <c r="A363" t="s">
        <v>777</v>
      </c>
      <c r="B363" t="s">
        <v>766</v>
      </c>
      <c r="C363" t="s">
        <v>767</v>
      </c>
      <c r="D363" t="s">
        <v>574</v>
      </c>
      <c r="E363" t="s">
        <v>17</v>
      </c>
      <c r="F363" t="s">
        <v>776</v>
      </c>
      <c r="G363" t="s">
        <v>776</v>
      </c>
      <c r="H363" t="s">
        <v>707</v>
      </c>
      <c r="I363" t="s">
        <v>775</v>
      </c>
      <c r="J363">
        <f t="shared" si="50"/>
        <v>22</v>
      </c>
      <c r="K363" t="s">
        <v>629</v>
      </c>
      <c r="L363" t="s">
        <v>703</v>
      </c>
      <c r="M363" t="s">
        <v>791</v>
      </c>
      <c r="N363" t="s">
        <v>782</v>
      </c>
      <c r="O363" t="s">
        <v>707</v>
      </c>
      <c r="R363" t="s">
        <v>408</v>
      </c>
      <c r="S363" t="s">
        <v>701</v>
      </c>
      <c r="T363" t="s">
        <v>695</v>
      </c>
      <c r="U363" t="s">
        <v>609</v>
      </c>
      <c r="V363" s="1" t="s">
        <v>774</v>
      </c>
      <c r="W363" s="1">
        <f>+W350*[57]Sheet1!$B6/100</f>
        <v>9.7216393442622853E-11</v>
      </c>
      <c r="X363" s="1"/>
      <c r="Y363" s="1"/>
      <c r="Z363" s="1"/>
      <c r="AA363" s="1"/>
      <c r="AB363" s="1">
        <f>+AB350*[57]Sheet1!$B6/100</f>
        <v>3.5261925305065885E-8</v>
      </c>
      <c r="AC363" s="1"/>
      <c r="AD363">
        <v>20</v>
      </c>
      <c r="AE363">
        <v>500</v>
      </c>
      <c r="AF363" s="3">
        <v>4.8</v>
      </c>
      <c r="AG363" s="5"/>
      <c r="AH363" s="2">
        <v>0.12990000000000002</v>
      </c>
      <c r="AK363" t="s">
        <v>199</v>
      </c>
    </row>
    <row r="364" spans="1:37" hidden="1" x14ac:dyDescent="0.25">
      <c r="A364" t="s">
        <v>777</v>
      </c>
      <c r="B364" t="s">
        <v>766</v>
      </c>
      <c r="C364" t="s">
        <v>767</v>
      </c>
      <c r="D364" t="s">
        <v>574</v>
      </c>
      <c r="E364" t="s">
        <v>17</v>
      </c>
      <c r="F364" t="s">
        <v>776</v>
      </c>
      <c r="G364" t="s">
        <v>776</v>
      </c>
      <c r="H364" t="s">
        <v>707</v>
      </c>
      <c r="I364" t="s">
        <v>775</v>
      </c>
      <c r="J364">
        <f t="shared" si="50"/>
        <v>22</v>
      </c>
      <c r="K364" t="s">
        <v>629</v>
      </c>
      <c r="L364" t="s">
        <v>703</v>
      </c>
      <c r="M364" t="s">
        <v>791</v>
      </c>
      <c r="N364" t="s">
        <v>783</v>
      </c>
      <c r="O364" t="s">
        <v>707</v>
      </c>
      <c r="R364" t="s">
        <v>408</v>
      </c>
      <c r="S364" t="s">
        <v>701</v>
      </c>
      <c r="T364" t="s">
        <v>695</v>
      </c>
      <c r="U364" t="s">
        <v>609</v>
      </c>
      <c r="V364" s="1" t="s">
        <v>774</v>
      </c>
      <c r="W364" s="1">
        <f>+W351*[57]Sheet1!$B7/100</f>
        <v>8.3668852459016277E-11</v>
      </c>
      <c r="X364" s="1"/>
      <c r="Y364" s="1"/>
      <c r="Z364" s="1"/>
      <c r="AA364" s="1"/>
      <c r="AB364" s="1">
        <f>+AB351*[57]Sheet1!$B7/100</f>
        <v>2.5163564649328168E-8</v>
      </c>
      <c r="AC364" s="1"/>
      <c r="AD364">
        <v>23</v>
      </c>
      <c r="AE364">
        <v>550</v>
      </c>
      <c r="AF364" s="3">
        <v>6.4</v>
      </c>
      <c r="AG364" s="5"/>
      <c r="AH364" s="2">
        <v>0.13100000000000001</v>
      </c>
      <c r="AK364" t="s">
        <v>199</v>
      </c>
    </row>
    <row r="365" spans="1:37" hidden="1" x14ac:dyDescent="0.25">
      <c r="A365" t="s">
        <v>777</v>
      </c>
      <c r="B365" t="s">
        <v>766</v>
      </c>
      <c r="C365" t="s">
        <v>767</v>
      </c>
      <c r="D365" t="s">
        <v>574</v>
      </c>
      <c r="E365" t="s">
        <v>17</v>
      </c>
      <c r="F365" t="s">
        <v>776</v>
      </c>
      <c r="G365" t="s">
        <v>776</v>
      </c>
      <c r="H365" t="s">
        <v>707</v>
      </c>
      <c r="I365" t="s">
        <v>775</v>
      </c>
      <c r="J365">
        <f t="shared" si="50"/>
        <v>22</v>
      </c>
      <c r="K365" t="s">
        <v>629</v>
      </c>
      <c r="L365" t="s">
        <v>703</v>
      </c>
      <c r="M365" t="s">
        <v>791</v>
      </c>
      <c r="N365" t="s">
        <v>784</v>
      </c>
      <c r="O365" t="s">
        <v>707</v>
      </c>
      <c r="R365" t="s">
        <v>408</v>
      </c>
      <c r="S365" t="s">
        <v>701</v>
      </c>
      <c r="T365" t="s">
        <v>695</v>
      </c>
      <c r="U365" t="s">
        <v>609</v>
      </c>
      <c r="V365" s="1" t="s">
        <v>774</v>
      </c>
      <c r="W365" s="1">
        <f>+W352*[57]Sheet1!$B8/100</f>
        <v>1.248E-10</v>
      </c>
      <c r="X365" s="1"/>
      <c r="Y365" s="1"/>
      <c r="Z365" s="1"/>
      <c r="AA365" s="1"/>
      <c r="AB365" s="1">
        <f>+AB352*[57]Sheet1!$B8/100</f>
        <v>4.3578947368421039E-8</v>
      </c>
      <c r="AC365" s="1"/>
      <c r="AD365">
        <v>25</v>
      </c>
      <c r="AE365">
        <v>590</v>
      </c>
      <c r="AF365" s="3">
        <v>4.9000000000000004</v>
      </c>
      <c r="AG365" s="5"/>
      <c r="AH365" s="2">
        <v>0.1338</v>
      </c>
      <c r="AK365" t="s">
        <v>199</v>
      </c>
    </row>
    <row r="366" spans="1:37" hidden="1" x14ac:dyDescent="0.25">
      <c r="A366" t="s">
        <v>777</v>
      </c>
      <c r="B366" t="s">
        <v>766</v>
      </c>
      <c r="C366" t="s">
        <v>767</v>
      </c>
      <c r="D366" t="s">
        <v>574</v>
      </c>
      <c r="E366" t="s">
        <v>17</v>
      </c>
      <c r="F366" t="s">
        <v>776</v>
      </c>
      <c r="G366" t="s">
        <v>776</v>
      </c>
      <c r="H366" t="s">
        <v>707</v>
      </c>
      <c r="I366" t="s">
        <v>775</v>
      </c>
      <c r="J366">
        <f t="shared" si="50"/>
        <v>22</v>
      </c>
      <c r="K366" t="s">
        <v>629</v>
      </c>
      <c r="L366" t="s">
        <v>703</v>
      </c>
      <c r="M366" t="s">
        <v>791</v>
      </c>
      <c r="N366" t="s">
        <v>785</v>
      </c>
      <c r="O366" t="s">
        <v>707</v>
      </c>
      <c r="R366" t="s">
        <v>408</v>
      </c>
      <c r="S366" t="s">
        <v>701</v>
      </c>
      <c r="T366" t="s">
        <v>695</v>
      </c>
      <c r="U366" t="s">
        <v>609</v>
      </c>
      <c r="V366" s="1" t="s">
        <v>774</v>
      </c>
      <c r="W366" s="1">
        <f>+W353*[57]Sheet1!$B9/100</f>
        <v>4.5590163934426225E-11</v>
      </c>
      <c r="X366" s="1"/>
      <c r="Y366" s="1"/>
      <c r="Z366" s="1"/>
      <c r="AA366" s="1"/>
      <c r="AB366" s="1">
        <f>+AB353*[57]Sheet1!$B9/100</f>
        <v>2.0766670775298849E-8</v>
      </c>
      <c r="AC366" s="1"/>
      <c r="AD366">
        <v>24</v>
      </c>
      <c r="AE366">
        <v>560</v>
      </c>
      <c r="AF366" s="3">
        <v>4.2</v>
      </c>
      <c r="AG366" s="5"/>
      <c r="AH366" s="2">
        <v>0.13880000000000001</v>
      </c>
      <c r="AK366" t="s">
        <v>199</v>
      </c>
    </row>
    <row r="367" spans="1:37" hidden="1" x14ac:dyDescent="0.25">
      <c r="A367" t="s">
        <v>777</v>
      </c>
      <c r="B367" t="s">
        <v>766</v>
      </c>
      <c r="C367" t="s">
        <v>767</v>
      </c>
      <c r="D367" t="s">
        <v>574</v>
      </c>
      <c r="E367" t="s">
        <v>17</v>
      </c>
      <c r="F367" t="s">
        <v>776</v>
      </c>
      <c r="G367" t="s">
        <v>776</v>
      </c>
      <c r="H367" t="s">
        <v>707</v>
      </c>
      <c r="I367" t="s">
        <v>775</v>
      </c>
      <c r="J367">
        <f t="shared" si="50"/>
        <v>22</v>
      </c>
      <c r="K367" t="s">
        <v>629</v>
      </c>
      <c r="L367" t="s">
        <v>703</v>
      </c>
      <c r="M367" t="s">
        <v>791</v>
      </c>
      <c r="N367" t="s">
        <v>786</v>
      </c>
      <c r="O367" t="s">
        <v>707</v>
      </c>
      <c r="R367" t="s">
        <v>408</v>
      </c>
      <c r="S367" t="s">
        <v>701</v>
      </c>
      <c r="T367" t="s">
        <v>695</v>
      </c>
      <c r="U367" t="s">
        <v>609</v>
      </c>
      <c r="V367" s="1" t="s">
        <v>774</v>
      </c>
      <c r="W367" s="1">
        <f>+W354*[57]Sheet1!$B10/100</f>
        <v>5.9075409836065525E-11</v>
      </c>
      <c r="X367" s="1"/>
      <c r="Y367" s="1"/>
      <c r="Z367" s="1"/>
      <c r="AA367" s="1"/>
      <c r="AB367" s="1">
        <f>+AB354*[57]Sheet1!$B10/100</f>
        <v>2.2913841982004162E-8</v>
      </c>
      <c r="AC367" s="1"/>
      <c r="AD367">
        <v>13</v>
      </c>
      <c r="AE367">
        <v>380</v>
      </c>
      <c r="AF367" s="3">
        <v>5.6</v>
      </c>
      <c r="AG367" s="5"/>
      <c r="AH367" s="2">
        <v>0.1263</v>
      </c>
      <c r="AK367" t="s">
        <v>199</v>
      </c>
    </row>
    <row r="368" spans="1:37" hidden="1" x14ac:dyDescent="0.25">
      <c r="A368" t="s">
        <v>777</v>
      </c>
      <c r="B368" t="s">
        <v>766</v>
      </c>
      <c r="C368" t="s">
        <v>767</v>
      </c>
      <c r="D368" t="s">
        <v>574</v>
      </c>
      <c r="E368" t="s">
        <v>17</v>
      </c>
      <c r="F368" t="s">
        <v>776</v>
      </c>
      <c r="G368" t="s">
        <v>776</v>
      </c>
      <c r="H368" t="s">
        <v>707</v>
      </c>
      <c r="I368" t="s">
        <v>775</v>
      </c>
      <c r="J368">
        <f t="shared" si="50"/>
        <v>22</v>
      </c>
      <c r="K368" t="s">
        <v>629</v>
      </c>
      <c r="L368" t="s">
        <v>703</v>
      </c>
      <c r="M368" t="s">
        <v>791</v>
      </c>
      <c r="N368" t="s">
        <v>787</v>
      </c>
      <c r="O368" t="s">
        <v>707</v>
      </c>
      <c r="R368" t="s">
        <v>408</v>
      </c>
      <c r="S368" t="s">
        <v>701</v>
      </c>
      <c r="T368" t="s">
        <v>695</v>
      </c>
      <c r="U368" t="s">
        <v>609</v>
      </c>
      <c r="V368" s="1" t="s">
        <v>774</v>
      </c>
      <c r="W368" s="1">
        <f>+W355*[57]Sheet1!$B11/100</f>
        <v>9.1354098360655659E-11</v>
      </c>
      <c r="X368" s="1"/>
      <c r="Y368" s="1"/>
      <c r="Z368" s="1"/>
      <c r="AA368" s="1"/>
      <c r="AB368" s="1">
        <f>+AB355*[57]Sheet1!$B11/100</f>
        <v>2.5932207568100511E-8</v>
      </c>
      <c r="AC368" s="1"/>
      <c r="AD368">
        <v>19</v>
      </c>
      <c r="AE368">
        <v>450</v>
      </c>
      <c r="AF368" s="3">
        <v>5.4</v>
      </c>
      <c r="AG368" s="5"/>
      <c r="AH368" s="2">
        <v>0.12830000000000003</v>
      </c>
      <c r="AK368" t="s">
        <v>199</v>
      </c>
    </row>
    <row r="369" spans="1:37" hidden="1" x14ac:dyDescent="0.25">
      <c r="A369" t="s">
        <v>777</v>
      </c>
      <c r="B369" t="s">
        <v>766</v>
      </c>
      <c r="C369" t="s">
        <v>767</v>
      </c>
      <c r="D369" t="s">
        <v>574</v>
      </c>
      <c r="E369" t="s">
        <v>17</v>
      </c>
      <c r="F369" t="s">
        <v>776</v>
      </c>
      <c r="G369" t="s">
        <v>776</v>
      </c>
      <c r="H369" t="s">
        <v>707</v>
      </c>
      <c r="I369" t="s">
        <v>775</v>
      </c>
      <c r="J369">
        <f t="shared" si="50"/>
        <v>22</v>
      </c>
      <c r="K369" t="s">
        <v>629</v>
      </c>
      <c r="L369" t="s">
        <v>703</v>
      </c>
      <c r="M369" t="s">
        <v>791</v>
      </c>
      <c r="N369" t="s">
        <v>788</v>
      </c>
      <c r="O369" t="s">
        <v>707</v>
      </c>
      <c r="R369" t="s">
        <v>408</v>
      </c>
      <c r="S369" t="s">
        <v>701</v>
      </c>
      <c r="T369" t="s">
        <v>695</v>
      </c>
      <c r="U369" t="s">
        <v>609</v>
      </c>
      <c r="V369" s="1" t="s">
        <v>774</v>
      </c>
      <c r="W369" s="1">
        <f>+W356*[57]Sheet1!$B12/100</f>
        <v>5.7137704918032717E-11</v>
      </c>
      <c r="X369" s="1"/>
      <c r="Y369" s="1"/>
      <c r="Z369" s="1"/>
      <c r="AA369" s="1"/>
      <c r="AB369" s="1">
        <f>+AB356*[57]Sheet1!$B12/100</f>
        <v>2.949192653765554E-8</v>
      </c>
      <c r="AC369" s="1"/>
      <c r="AD369">
        <v>35</v>
      </c>
      <c r="AE369">
        <v>730</v>
      </c>
      <c r="AF369" s="3">
        <v>4.0999999999999996</v>
      </c>
      <c r="AG369" s="5"/>
      <c r="AH369" s="2">
        <v>0.14299999999999999</v>
      </c>
      <c r="AK369" t="s">
        <v>199</v>
      </c>
    </row>
    <row r="370" spans="1:37" hidden="1" x14ac:dyDescent="0.25">
      <c r="A370" t="s">
        <v>777</v>
      </c>
      <c r="B370" t="s">
        <v>766</v>
      </c>
      <c r="C370" t="s">
        <v>767</v>
      </c>
      <c r="D370" t="s">
        <v>574</v>
      </c>
      <c r="E370" t="s">
        <v>17</v>
      </c>
      <c r="F370" t="s">
        <v>776</v>
      </c>
      <c r="G370" t="s">
        <v>776</v>
      </c>
      <c r="H370" t="s">
        <v>707</v>
      </c>
      <c r="I370" t="s">
        <v>775</v>
      </c>
      <c r="J370">
        <f t="shared" si="50"/>
        <v>22</v>
      </c>
      <c r="K370" t="s">
        <v>629</v>
      </c>
      <c r="L370" t="s">
        <v>703</v>
      </c>
      <c r="M370" t="s">
        <v>791</v>
      </c>
      <c r="N370" t="s">
        <v>789</v>
      </c>
      <c r="O370" t="s">
        <v>707</v>
      </c>
      <c r="R370" t="s">
        <v>408</v>
      </c>
      <c r="S370" t="s">
        <v>701</v>
      </c>
      <c r="T370" t="s">
        <v>695</v>
      </c>
      <c r="U370" t="s">
        <v>609</v>
      </c>
      <c r="V370" s="1" t="s">
        <v>774</v>
      </c>
      <c r="W370" s="1">
        <f>+W357*[57]Sheet1!$B13/100</f>
        <v>1.21967213114754E-10</v>
      </c>
      <c r="X370" s="1"/>
      <c r="Y370" s="1"/>
      <c r="Z370" s="1"/>
      <c r="AA370" s="1"/>
      <c r="AB370" s="1">
        <f>+AB357*[57]Sheet1!$B13/100</f>
        <v>3.3090102304942647E-8</v>
      </c>
      <c r="AC370" s="1"/>
      <c r="AD370">
        <v>28</v>
      </c>
      <c r="AE370">
        <v>670</v>
      </c>
      <c r="AF370" s="3">
        <v>5.6</v>
      </c>
      <c r="AG370" s="5"/>
      <c r="AH370" s="2">
        <v>0.13290000000000002</v>
      </c>
      <c r="AK370" t="s">
        <v>199</v>
      </c>
    </row>
    <row r="371" spans="1:37" hidden="1" x14ac:dyDescent="0.25">
      <c r="A371" t="s">
        <v>777</v>
      </c>
      <c r="B371" t="s">
        <v>766</v>
      </c>
      <c r="C371" t="s">
        <v>767</v>
      </c>
      <c r="D371" t="s">
        <v>574</v>
      </c>
      <c r="E371" t="s">
        <v>17</v>
      </c>
      <c r="F371" t="s">
        <v>776</v>
      </c>
      <c r="G371" t="s">
        <v>776</v>
      </c>
      <c r="H371" t="s">
        <v>707</v>
      </c>
      <c r="I371" t="s">
        <v>775</v>
      </c>
      <c r="J371">
        <f t="shared" si="50"/>
        <v>22</v>
      </c>
      <c r="K371" t="s">
        <v>629</v>
      </c>
      <c r="L371" t="s">
        <v>703</v>
      </c>
      <c r="M371" t="s">
        <v>791</v>
      </c>
      <c r="N371" t="s">
        <v>790</v>
      </c>
      <c r="O371" t="s">
        <v>707</v>
      </c>
      <c r="R371" t="s">
        <v>408</v>
      </c>
      <c r="S371" t="s">
        <v>701</v>
      </c>
      <c r="T371" t="s">
        <v>695</v>
      </c>
      <c r="U371" t="s">
        <v>609</v>
      </c>
      <c r="V371" s="1" t="s">
        <v>774</v>
      </c>
      <c r="W371" s="1">
        <f>+W358*[57]Sheet1!$B14/100</f>
        <v>1.4375409836065568E-10</v>
      </c>
      <c r="X371" s="1"/>
      <c r="Y371" s="1"/>
      <c r="Z371" s="1"/>
      <c r="AA371" s="1"/>
      <c r="AB371" s="1">
        <f>+AB358*[57]Sheet1!$B14/100</f>
        <v>4.0406754591396472E-8</v>
      </c>
      <c r="AC371" s="1"/>
      <c r="AD371">
        <v>26</v>
      </c>
      <c r="AE371">
        <v>610</v>
      </c>
      <c r="AF371" s="3">
        <v>6.4</v>
      </c>
      <c r="AG371" s="5"/>
      <c r="AH371" s="2">
        <v>0.13159999999999999</v>
      </c>
      <c r="AK371" t="s">
        <v>199</v>
      </c>
    </row>
    <row r="372" spans="1:37" hidden="1" x14ac:dyDescent="0.25">
      <c r="A372" t="s">
        <v>72</v>
      </c>
      <c r="B372" t="s">
        <v>53</v>
      </c>
      <c r="C372" t="s">
        <v>54</v>
      </c>
      <c r="D372" t="s">
        <v>16</v>
      </c>
      <c r="E372" t="s">
        <v>17</v>
      </c>
      <c r="F372" t="s">
        <v>18</v>
      </c>
      <c r="G372" t="s">
        <v>18</v>
      </c>
      <c r="H372" t="s">
        <v>18</v>
      </c>
      <c r="I372" t="s">
        <v>704</v>
      </c>
      <c r="J372">
        <v>15</v>
      </c>
      <c r="K372" t="s">
        <v>745</v>
      </c>
      <c r="L372" t="s">
        <v>492</v>
      </c>
      <c r="M372" t="s">
        <v>707</v>
      </c>
      <c r="R372" t="s">
        <v>407</v>
      </c>
      <c r="S372" t="s">
        <v>701</v>
      </c>
      <c r="T372" t="s">
        <v>695</v>
      </c>
      <c r="U372" t="s">
        <v>610</v>
      </c>
      <c r="V372" s="4"/>
      <c r="W372" s="4"/>
      <c r="Z372" s="3"/>
      <c r="AA372" s="3"/>
      <c r="AB372" s="1">
        <v>5.2999999999999998E-8</v>
      </c>
      <c r="AD372" s="3"/>
      <c r="AK372" t="s">
        <v>348</v>
      </c>
    </row>
    <row r="373" spans="1:37" hidden="1" x14ac:dyDescent="0.25">
      <c r="A373" t="s">
        <v>72</v>
      </c>
      <c r="B373" t="s">
        <v>53</v>
      </c>
      <c r="C373" t="s">
        <v>54</v>
      </c>
      <c r="D373" t="s">
        <v>16</v>
      </c>
      <c r="E373" t="s">
        <v>17</v>
      </c>
      <c r="F373" t="s">
        <v>18</v>
      </c>
      <c r="G373" t="s">
        <v>18</v>
      </c>
      <c r="H373" t="s">
        <v>18</v>
      </c>
      <c r="I373" t="s">
        <v>704</v>
      </c>
      <c r="J373">
        <v>15</v>
      </c>
      <c r="K373" t="s">
        <v>745</v>
      </c>
      <c r="L373" t="s">
        <v>492</v>
      </c>
      <c r="M373" t="s">
        <v>707</v>
      </c>
      <c r="R373" t="s">
        <v>409</v>
      </c>
      <c r="S373" t="s">
        <v>701</v>
      </c>
      <c r="T373" t="s">
        <v>695</v>
      </c>
      <c r="U373" t="s">
        <v>610</v>
      </c>
      <c r="V373" s="4"/>
      <c r="W373" s="4"/>
      <c r="Z373" s="3"/>
      <c r="AA373" s="3"/>
      <c r="AB373" s="1">
        <v>8.5899999999999995E-8</v>
      </c>
      <c r="AD373" s="3"/>
      <c r="AK373" t="s">
        <v>348</v>
      </c>
    </row>
    <row r="374" spans="1:37" hidden="1" x14ac:dyDescent="0.25">
      <c r="A374" t="s">
        <v>72</v>
      </c>
      <c r="B374" t="s">
        <v>53</v>
      </c>
      <c r="C374" t="s">
        <v>54</v>
      </c>
      <c r="D374" t="s">
        <v>16</v>
      </c>
      <c r="E374" t="s">
        <v>17</v>
      </c>
      <c r="F374" t="s">
        <v>18</v>
      </c>
      <c r="G374" t="s">
        <v>18</v>
      </c>
      <c r="H374" t="s">
        <v>18</v>
      </c>
      <c r="I374" t="s">
        <v>704</v>
      </c>
      <c r="J374">
        <v>15</v>
      </c>
      <c r="K374" t="s">
        <v>745</v>
      </c>
      <c r="L374" t="s">
        <v>491</v>
      </c>
      <c r="M374" t="s">
        <v>707</v>
      </c>
      <c r="R374" t="s">
        <v>409</v>
      </c>
      <c r="S374" t="s">
        <v>701</v>
      </c>
      <c r="T374" t="s">
        <v>695</v>
      </c>
      <c r="U374" t="s">
        <v>610</v>
      </c>
      <c r="V374" s="4"/>
      <c r="W374" s="4"/>
      <c r="Z374" s="3"/>
      <c r="AA374" s="3"/>
      <c r="AB374" s="1">
        <v>2.2600000000000001E-7</v>
      </c>
      <c r="AD374" s="3"/>
      <c r="AK374" t="s">
        <v>348</v>
      </c>
    </row>
    <row r="375" spans="1:37" hidden="1" x14ac:dyDescent="0.25">
      <c r="A375" t="s">
        <v>72</v>
      </c>
      <c r="B375" t="s">
        <v>53</v>
      </c>
      <c r="C375" t="s">
        <v>54</v>
      </c>
      <c r="D375" t="s">
        <v>16</v>
      </c>
      <c r="E375" t="s">
        <v>17</v>
      </c>
      <c r="F375" t="s">
        <v>18</v>
      </c>
      <c r="G375" t="s">
        <v>18</v>
      </c>
      <c r="H375" t="s">
        <v>18</v>
      </c>
      <c r="I375" t="s">
        <v>704</v>
      </c>
      <c r="J375">
        <v>15</v>
      </c>
      <c r="K375" t="s">
        <v>745</v>
      </c>
      <c r="L375" t="s">
        <v>491</v>
      </c>
      <c r="M375" t="s">
        <v>707</v>
      </c>
      <c r="R375" t="s">
        <v>408</v>
      </c>
      <c r="S375" t="s">
        <v>701</v>
      </c>
      <c r="T375" t="s">
        <v>695</v>
      </c>
      <c r="U375" t="s">
        <v>610</v>
      </c>
      <c r="V375" s="4"/>
      <c r="W375" s="4"/>
      <c r="Z375" s="3"/>
      <c r="AA375" s="3"/>
      <c r="AB375" s="1">
        <v>1.3400000000000001E-7</v>
      </c>
      <c r="AK375" t="s">
        <v>348</v>
      </c>
    </row>
    <row r="376" spans="1:37" hidden="1" x14ac:dyDescent="0.25">
      <c r="A376" t="s">
        <v>72</v>
      </c>
      <c r="B376" t="s">
        <v>53</v>
      </c>
      <c r="C376" t="s">
        <v>54</v>
      </c>
      <c r="D376" t="s">
        <v>16</v>
      </c>
      <c r="E376" t="s">
        <v>17</v>
      </c>
      <c r="F376" t="s">
        <v>18</v>
      </c>
      <c r="G376" t="s">
        <v>18</v>
      </c>
      <c r="H376" t="s">
        <v>18</v>
      </c>
      <c r="I376" t="s">
        <v>704</v>
      </c>
      <c r="J376">
        <v>15</v>
      </c>
      <c r="K376" t="s">
        <v>745</v>
      </c>
      <c r="L376" t="s">
        <v>491</v>
      </c>
      <c r="M376" t="s">
        <v>707</v>
      </c>
      <c r="R376" t="s">
        <v>407</v>
      </c>
      <c r="S376" t="s">
        <v>701</v>
      </c>
      <c r="T376" t="s">
        <v>695</v>
      </c>
      <c r="U376" t="s">
        <v>610</v>
      </c>
      <c r="V376" s="4"/>
      <c r="W376" s="4"/>
      <c r="Z376" s="3"/>
      <c r="AA376" s="3"/>
      <c r="AB376" s="1">
        <v>1.18E-7</v>
      </c>
      <c r="AK376" t="s">
        <v>348</v>
      </c>
    </row>
    <row r="377" spans="1:37" hidden="1" x14ac:dyDescent="0.25">
      <c r="A377" t="s">
        <v>765</v>
      </c>
      <c r="B377" t="s">
        <v>766</v>
      </c>
      <c r="C377" t="s">
        <v>767</v>
      </c>
      <c r="D377" t="s">
        <v>574</v>
      </c>
      <c r="E377" t="s">
        <v>17</v>
      </c>
      <c r="F377" t="s">
        <v>776</v>
      </c>
      <c r="G377" t="s">
        <v>776</v>
      </c>
      <c r="H377" t="s">
        <v>707</v>
      </c>
      <c r="I377" t="s">
        <v>775</v>
      </c>
      <c r="J377">
        <f>4*7</f>
        <v>28</v>
      </c>
      <c r="K377" t="s">
        <v>744</v>
      </c>
      <c r="L377" t="s">
        <v>768</v>
      </c>
      <c r="M377" t="s">
        <v>707</v>
      </c>
      <c r="R377" t="s">
        <v>407</v>
      </c>
      <c r="S377" t="s">
        <v>701</v>
      </c>
      <c r="T377" t="s">
        <v>695</v>
      </c>
      <c r="U377" t="s">
        <v>609</v>
      </c>
      <c r="V377" s="4" t="s">
        <v>733</v>
      </c>
      <c r="W377" s="4">
        <f>+AB377*AD377/10000</f>
        <v>4.6170000000000002E-10</v>
      </c>
      <c r="Z377" s="3"/>
      <c r="AA377" s="3"/>
      <c r="AB377" s="1">
        <v>9.5000000000000004E-8</v>
      </c>
      <c r="AD377">
        <v>48.6</v>
      </c>
      <c r="AE377">
        <v>14.9</v>
      </c>
      <c r="AK377" t="s">
        <v>198</v>
      </c>
    </row>
    <row r="378" spans="1:37" hidden="1" x14ac:dyDescent="0.25">
      <c r="A378" t="s">
        <v>765</v>
      </c>
      <c r="B378" t="s">
        <v>766</v>
      </c>
      <c r="C378" t="s">
        <v>767</v>
      </c>
      <c r="D378" t="s">
        <v>574</v>
      </c>
      <c r="E378" t="s">
        <v>17</v>
      </c>
      <c r="F378" t="s">
        <v>776</v>
      </c>
      <c r="G378" t="s">
        <v>776</v>
      </c>
      <c r="H378" t="s">
        <v>707</v>
      </c>
      <c r="I378" t="s">
        <v>775</v>
      </c>
      <c r="J378">
        <f t="shared" ref="J378:J386" si="51">4*7</f>
        <v>28</v>
      </c>
      <c r="K378" t="s">
        <v>744</v>
      </c>
      <c r="L378" t="s">
        <v>769</v>
      </c>
      <c r="M378" t="s">
        <v>707</v>
      </c>
      <c r="R378" t="s">
        <v>407</v>
      </c>
      <c r="S378" t="s">
        <v>701</v>
      </c>
      <c r="T378" t="s">
        <v>695</v>
      </c>
      <c r="U378" t="s">
        <v>609</v>
      </c>
      <c r="V378" s="4" t="s">
        <v>733</v>
      </c>
      <c r="W378" s="4">
        <f t="shared" ref="W378:W386" si="52">+AB378*AD378/10000</f>
        <v>2.5611999999999999E-10</v>
      </c>
      <c r="Z378" s="3"/>
      <c r="AA378" s="3"/>
      <c r="AB378" s="1">
        <v>3.7999999999999996E-8</v>
      </c>
      <c r="AD378">
        <v>67.400000000000006</v>
      </c>
      <c r="AE378">
        <v>16.2</v>
      </c>
      <c r="AK378" t="s">
        <v>198</v>
      </c>
    </row>
    <row r="379" spans="1:37" hidden="1" x14ac:dyDescent="0.25">
      <c r="A379" t="s">
        <v>765</v>
      </c>
      <c r="B379" t="s">
        <v>766</v>
      </c>
      <c r="C379" t="s">
        <v>767</v>
      </c>
      <c r="D379" t="s">
        <v>574</v>
      </c>
      <c r="E379" t="s">
        <v>17</v>
      </c>
      <c r="F379" t="s">
        <v>776</v>
      </c>
      <c r="G379" t="s">
        <v>776</v>
      </c>
      <c r="H379" t="s">
        <v>707</v>
      </c>
      <c r="I379" t="s">
        <v>775</v>
      </c>
      <c r="J379">
        <f t="shared" si="51"/>
        <v>28</v>
      </c>
      <c r="K379" t="s">
        <v>744</v>
      </c>
      <c r="L379" t="s">
        <v>770</v>
      </c>
      <c r="M379" t="s">
        <v>707</v>
      </c>
      <c r="R379" t="s">
        <v>407</v>
      </c>
      <c r="S379" t="s">
        <v>701</v>
      </c>
      <c r="T379" t="s">
        <v>695</v>
      </c>
      <c r="U379" t="s">
        <v>609</v>
      </c>
      <c r="V379" s="4" t="s">
        <v>733</v>
      </c>
      <c r="W379" s="4">
        <f t="shared" si="52"/>
        <v>2.5456E-10</v>
      </c>
      <c r="Z379" s="3"/>
      <c r="AA379" s="3"/>
      <c r="AB379" s="1">
        <v>3.7E-8</v>
      </c>
      <c r="AD379">
        <v>68.8</v>
      </c>
      <c r="AE379">
        <v>16.8</v>
      </c>
      <c r="AK379" t="s">
        <v>198</v>
      </c>
    </row>
    <row r="380" spans="1:37" hidden="1" x14ac:dyDescent="0.25">
      <c r="A380" t="s">
        <v>765</v>
      </c>
      <c r="B380" t="s">
        <v>766</v>
      </c>
      <c r="C380" t="s">
        <v>767</v>
      </c>
      <c r="D380" t="s">
        <v>574</v>
      </c>
      <c r="E380" t="s">
        <v>17</v>
      </c>
      <c r="F380" t="s">
        <v>776</v>
      </c>
      <c r="G380" t="s">
        <v>776</v>
      </c>
      <c r="H380" t="s">
        <v>707</v>
      </c>
      <c r="I380" t="s">
        <v>775</v>
      </c>
      <c r="J380">
        <f t="shared" si="51"/>
        <v>28</v>
      </c>
      <c r="K380" t="s">
        <v>744</v>
      </c>
      <c r="L380" t="s">
        <v>771</v>
      </c>
      <c r="M380" t="s">
        <v>707</v>
      </c>
      <c r="R380" t="s">
        <v>407</v>
      </c>
      <c r="S380" t="s">
        <v>701</v>
      </c>
      <c r="T380" t="s">
        <v>695</v>
      </c>
      <c r="U380" t="s">
        <v>609</v>
      </c>
      <c r="V380" s="4" t="s">
        <v>733</v>
      </c>
      <c r="W380" s="4">
        <f t="shared" si="52"/>
        <v>2.3363999999999998E-10</v>
      </c>
      <c r="Z380" s="3"/>
      <c r="AA380" s="3"/>
      <c r="AB380" s="1">
        <v>3.2999999999999998E-8</v>
      </c>
      <c r="AD380">
        <v>70.8</v>
      </c>
      <c r="AE380">
        <v>18.7</v>
      </c>
      <c r="AK380" t="s">
        <v>198</v>
      </c>
    </row>
    <row r="381" spans="1:37" hidden="1" x14ac:dyDescent="0.25">
      <c r="A381" t="s">
        <v>765</v>
      </c>
      <c r="B381" t="s">
        <v>766</v>
      </c>
      <c r="C381" t="s">
        <v>767</v>
      </c>
      <c r="D381" t="s">
        <v>574</v>
      </c>
      <c r="E381" t="s">
        <v>17</v>
      </c>
      <c r="F381" t="s">
        <v>776</v>
      </c>
      <c r="G381" t="s">
        <v>776</v>
      </c>
      <c r="H381" t="s">
        <v>707</v>
      </c>
      <c r="I381" t="s">
        <v>775</v>
      </c>
      <c r="J381">
        <f t="shared" si="51"/>
        <v>28</v>
      </c>
      <c r="K381" t="s">
        <v>744</v>
      </c>
      <c r="L381" t="s">
        <v>772</v>
      </c>
      <c r="M381" t="s">
        <v>707</v>
      </c>
      <c r="R381" t="s">
        <v>407</v>
      </c>
      <c r="S381" t="s">
        <v>701</v>
      </c>
      <c r="T381" t="s">
        <v>695</v>
      </c>
      <c r="U381" t="s">
        <v>609</v>
      </c>
      <c r="V381" s="4" t="s">
        <v>733</v>
      </c>
      <c r="W381" s="4">
        <f t="shared" si="52"/>
        <v>2.6691000000000001E-10</v>
      </c>
      <c r="Z381" s="3"/>
      <c r="AA381" s="3"/>
      <c r="AB381" s="1">
        <v>3.1E-8</v>
      </c>
      <c r="AD381">
        <v>86.1</v>
      </c>
      <c r="AE381">
        <v>19.600000000000001</v>
      </c>
      <c r="AK381" t="s">
        <v>198</v>
      </c>
    </row>
    <row r="382" spans="1:37" hidden="1" x14ac:dyDescent="0.25">
      <c r="A382" t="s">
        <v>765</v>
      </c>
      <c r="B382" t="s">
        <v>766</v>
      </c>
      <c r="C382" t="s">
        <v>767</v>
      </c>
      <c r="D382" t="s">
        <v>574</v>
      </c>
      <c r="E382" t="s">
        <v>17</v>
      </c>
      <c r="F382" t="s">
        <v>776</v>
      </c>
      <c r="G382" t="s">
        <v>776</v>
      </c>
      <c r="H382" t="s">
        <v>707</v>
      </c>
      <c r="I382" t="s">
        <v>775</v>
      </c>
      <c r="J382">
        <f t="shared" si="51"/>
        <v>28</v>
      </c>
      <c r="K382" t="s">
        <v>744</v>
      </c>
      <c r="L382" t="s">
        <v>768</v>
      </c>
      <c r="M382" t="s">
        <v>707</v>
      </c>
      <c r="R382" t="s">
        <v>407</v>
      </c>
      <c r="S382" t="s">
        <v>701</v>
      </c>
      <c r="T382" t="s">
        <v>695</v>
      </c>
      <c r="U382" t="s">
        <v>610</v>
      </c>
      <c r="V382" s="4" t="s">
        <v>733</v>
      </c>
      <c r="W382" s="4">
        <f t="shared" si="52"/>
        <v>2.7702000000000004E-10</v>
      </c>
      <c r="Z382" s="3"/>
      <c r="AA382" s="3"/>
      <c r="AB382" s="1">
        <v>5.7000000000000001E-8</v>
      </c>
      <c r="AD382">
        <v>48.6</v>
      </c>
      <c r="AE382">
        <v>14.9</v>
      </c>
      <c r="AK382" t="s">
        <v>198</v>
      </c>
    </row>
    <row r="383" spans="1:37" hidden="1" x14ac:dyDescent="0.25">
      <c r="A383" t="s">
        <v>765</v>
      </c>
      <c r="B383" t="s">
        <v>766</v>
      </c>
      <c r="C383" t="s">
        <v>767</v>
      </c>
      <c r="D383" t="s">
        <v>574</v>
      </c>
      <c r="E383" t="s">
        <v>17</v>
      </c>
      <c r="F383" t="s">
        <v>776</v>
      </c>
      <c r="G383" t="s">
        <v>776</v>
      </c>
      <c r="H383" t="s">
        <v>707</v>
      </c>
      <c r="I383" t="s">
        <v>775</v>
      </c>
      <c r="J383">
        <f t="shared" si="51"/>
        <v>28</v>
      </c>
      <c r="K383" t="s">
        <v>744</v>
      </c>
      <c r="L383" t="s">
        <v>769</v>
      </c>
      <c r="M383" t="s">
        <v>707</v>
      </c>
      <c r="R383" t="s">
        <v>407</v>
      </c>
      <c r="S383" t="s">
        <v>701</v>
      </c>
      <c r="T383" t="s">
        <v>695</v>
      </c>
      <c r="U383" t="s">
        <v>610</v>
      </c>
      <c r="V383" s="4" t="s">
        <v>733</v>
      </c>
      <c r="W383" s="4">
        <f t="shared" si="52"/>
        <v>2.3590000000000003E-10</v>
      </c>
      <c r="Z383" s="3"/>
      <c r="AA383" s="3"/>
      <c r="AB383" s="1">
        <v>3.5000000000000002E-8</v>
      </c>
      <c r="AD383">
        <v>67.400000000000006</v>
      </c>
      <c r="AE383">
        <v>16.2</v>
      </c>
      <c r="AK383" t="s">
        <v>198</v>
      </c>
    </row>
    <row r="384" spans="1:37" hidden="1" x14ac:dyDescent="0.25">
      <c r="A384" t="s">
        <v>765</v>
      </c>
      <c r="B384" t="s">
        <v>766</v>
      </c>
      <c r="C384" t="s">
        <v>767</v>
      </c>
      <c r="D384" t="s">
        <v>574</v>
      </c>
      <c r="E384" t="s">
        <v>17</v>
      </c>
      <c r="F384" t="s">
        <v>776</v>
      </c>
      <c r="G384" t="s">
        <v>776</v>
      </c>
      <c r="H384" t="s">
        <v>707</v>
      </c>
      <c r="I384" t="s">
        <v>775</v>
      </c>
      <c r="J384">
        <f t="shared" si="51"/>
        <v>28</v>
      </c>
      <c r="K384" t="s">
        <v>744</v>
      </c>
      <c r="L384" t="s">
        <v>770</v>
      </c>
      <c r="M384" t="s">
        <v>707</v>
      </c>
      <c r="R384" t="s">
        <v>407</v>
      </c>
      <c r="S384" t="s">
        <v>701</v>
      </c>
      <c r="T384" t="s">
        <v>695</v>
      </c>
      <c r="U384" t="s">
        <v>610</v>
      </c>
      <c r="V384" s="4" t="s">
        <v>733</v>
      </c>
      <c r="W384" s="4">
        <f t="shared" si="52"/>
        <v>2.4768000000000002E-10</v>
      </c>
      <c r="Z384" s="3"/>
      <c r="AA384" s="3"/>
      <c r="AB384" s="1">
        <v>3.6000000000000005E-8</v>
      </c>
      <c r="AD384">
        <v>68.8</v>
      </c>
      <c r="AE384">
        <v>16.8</v>
      </c>
      <c r="AK384" t="s">
        <v>198</v>
      </c>
    </row>
    <row r="385" spans="1:37" hidden="1" x14ac:dyDescent="0.25">
      <c r="A385" t="s">
        <v>765</v>
      </c>
      <c r="B385" t="s">
        <v>766</v>
      </c>
      <c r="C385" t="s">
        <v>767</v>
      </c>
      <c r="D385" t="s">
        <v>574</v>
      </c>
      <c r="E385" t="s">
        <v>17</v>
      </c>
      <c r="F385" t="s">
        <v>776</v>
      </c>
      <c r="G385" t="s">
        <v>776</v>
      </c>
      <c r="H385" t="s">
        <v>707</v>
      </c>
      <c r="I385" t="s">
        <v>775</v>
      </c>
      <c r="J385">
        <f t="shared" si="51"/>
        <v>28</v>
      </c>
      <c r="K385" t="s">
        <v>744</v>
      </c>
      <c r="L385" t="s">
        <v>771</v>
      </c>
      <c r="M385" t="s">
        <v>707</v>
      </c>
      <c r="R385" t="s">
        <v>407</v>
      </c>
      <c r="S385" t="s">
        <v>701</v>
      </c>
      <c r="T385" t="s">
        <v>695</v>
      </c>
      <c r="U385" t="s">
        <v>610</v>
      </c>
      <c r="V385" s="4" t="s">
        <v>733</v>
      </c>
      <c r="W385" s="4">
        <f t="shared" si="52"/>
        <v>2.2655999999999999E-10</v>
      </c>
      <c r="Z385" s="3"/>
      <c r="AA385" s="3"/>
      <c r="AB385" s="1">
        <v>3.2000000000000002E-8</v>
      </c>
      <c r="AD385">
        <v>70.8</v>
      </c>
      <c r="AE385">
        <v>18.7</v>
      </c>
      <c r="AK385" t="s">
        <v>198</v>
      </c>
    </row>
    <row r="386" spans="1:37" hidden="1" x14ac:dyDescent="0.25">
      <c r="A386" t="s">
        <v>765</v>
      </c>
      <c r="B386" t="s">
        <v>766</v>
      </c>
      <c r="C386" t="s">
        <v>767</v>
      </c>
      <c r="D386" t="s">
        <v>574</v>
      </c>
      <c r="E386" t="s">
        <v>17</v>
      </c>
      <c r="F386" t="s">
        <v>776</v>
      </c>
      <c r="G386" t="s">
        <v>776</v>
      </c>
      <c r="H386" t="s">
        <v>707</v>
      </c>
      <c r="I386" t="s">
        <v>775</v>
      </c>
      <c r="J386">
        <f t="shared" si="51"/>
        <v>28</v>
      </c>
      <c r="K386" t="s">
        <v>744</v>
      </c>
      <c r="L386" t="s">
        <v>772</v>
      </c>
      <c r="M386" t="s">
        <v>707</v>
      </c>
      <c r="R386" t="s">
        <v>407</v>
      </c>
      <c r="S386" t="s">
        <v>701</v>
      </c>
      <c r="T386" t="s">
        <v>695</v>
      </c>
      <c r="U386" t="s">
        <v>610</v>
      </c>
      <c r="V386" s="4" t="s">
        <v>733</v>
      </c>
      <c r="W386" s="4">
        <f t="shared" si="52"/>
        <v>2.4108000000000001E-10</v>
      </c>
      <c r="Z386" s="3"/>
      <c r="AA386" s="3"/>
      <c r="AB386" s="1">
        <v>2.7999999999999999E-8</v>
      </c>
      <c r="AD386">
        <v>86.1</v>
      </c>
      <c r="AE386">
        <v>19.600000000000001</v>
      </c>
      <c r="AK386" t="s">
        <v>198</v>
      </c>
    </row>
    <row r="387" spans="1:37" hidden="1" x14ac:dyDescent="0.25">
      <c r="A387" t="s">
        <v>73</v>
      </c>
      <c r="B387" t="s">
        <v>74</v>
      </c>
      <c r="C387" t="s">
        <v>75</v>
      </c>
      <c r="D387" t="s">
        <v>16</v>
      </c>
      <c r="E387" t="s">
        <v>17</v>
      </c>
      <c r="F387" t="s">
        <v>18</v>
      </c>
      <c r="G387" t="s">
        <v>18</v>
      </c>
      <c r="H387" t="s">
        <v>18</v>
      </c>
      <c r="I387" t="s">
        <v>704</v>
      </c>
      <c r="J387">
        <v>7</v>
      </c>
      <c r="K387" t="s">
        <v>91</v>
      </c>
      <c r="L387" t="s">
        <v>36</v>
      </c>
      <c r="M387" t="str">
        <f t="shared" ref="M387:M392" si="53">+IF(L387 = "Control", "Control", "Stress")</f>
        <v>Control</v>
      </c>
      <c r="R387" t="s">
        <v>408</v>
      </c>
      <c r="S387" t="s">
        <v>701</v>
      </c>
      <c r="T387" t="s">
        <v>695</v>
      </c>
      <c r="U387" t="s">
        <v>610</v>
      </c>
      <c r="V387" s="4"/>
      <c r="W387" s="1"/>
      <c r="X387">
        <f>0.000000598/3600</f>
        <v>1.6611111111111112E-10</v>
      </c>
      <c r="Y387" s="1"/>
      <c r="Z387" s="3"/>
      <c r="AA387" s="3"/>
      <c r="AK387" t="s">
        <v>348</v>
      </c>
    </row>
    <row r="388" spans="1:37" hidden="1" x14ac:dyDescent="0.25">
      <c r="A388" t="s">
        <v>73</v>
      </c>
      <c r="B388" t="s">
        <v>74</v>
      </c>
      <c r="C388" t="s">
        <v>75</v>
      </c>
      <c r="D388" t="s">
        <v>16</v>
      </c>
      <c r="E388" t="s">
        <v>17</v>
      </c>
      <c r="F388" t="s">
        <v>18</v>
      </c>
      <c r="G388" t="s">
        <v>18</v>
      </c>
      <c r="H388" t="s">
        <v>18</v>
      </c>
      <c r="I388" t="s">
        <v>704</v>
      </c>
      <c r="J388">
        <v>7</v>
      </c>
      <c r="K388" t="s">
        <v>91</v>
      </c>
      <c r="L388" t="s">
        <v>36</v>
      </c>
      <c r="M388" t="str">
        <f t="shared" si="53"/>
        <v>Control</v>
      </c>
      <c r="R388" t="s">
        <v>408</v>
      </c>
      <c r="S388" t="s">
        <v>701</v>
      </c>
      <c r="T388" t="s">
        <v>695</v>
      </c>
      <c r="U388" t="s">
        <v>609</v>
      </c>
      <c r="V388" s="1"/>
      <c r="W388" s="1"/>
      <c r="X388">
        <f>0.00000085/3600</f>
        <v>2.3611111111111114E-10</v>
      </c>
      <c r="Y388" s="1"/>
      <c r="Z388" s="3"/>
      <c r="AA388" s="3"/>
      <c r="AK388" t="s">
        <v>355</v>
      </c>
    </row>
    <row r="389" spans="1:37" hidden="1" x14ac:dyDescent="0.25">
      <c r="A389" t="s">
        <v>73</v>
      </c>
      <c r="B389" t="s">
        <v>74</v>
      </c>
      <c r="C389" t="s">
        <v>75</v>
      </c>
      <c r="D389" t="s">
        <v>16</v>
      </c>
      <c r="E389" t="s">
        <v>17</v>
      </c>
      <c r="F389" t="s">
        <v>18</v>
      </c>
      <c r="G389" t="s">
        <v>18</v>
      </c>
      <c r="H389" t="s">
        <v>18</v>
      </c>
      <c r="I389" t="s">
        <v>704</v>
      </c>
      <c r="J389">
        <v>7</v>
      </c>
      <c r="K389" t="s">
        <v>350</v>
      </c>
      <c r="L389" t="s">
        <v>36</v>
      </c>
      <c r="M389" t="str">
        <f t="shared" si="53"/>
        <v>Control</v>
      </c>
      <c r="R389" t="s">
        <v>408</v>
      </c>
      <c r="S389" t="s">
        <v>701</v>
      </c>
      <c r="T389" t="s">
        <v>695</v>
      </c>
      <c r="U389" t="s">
        <v>609</v>
      </c>
      <c r="V389" s="4"/>
      <c r="W389" s="4"/>
      <c r="X389">
        <f>0.00000061/3600</f>
        <v>1.6944444444444445E-10</v>
      </c>
      <c r="Z389" s="3"/>
      <c r="AA389" s="3"/>
      <c r="AK389" t="s">
        <v>355</v>
      </c>
    </row>
    <row r="390" spans="1:37" hidden="1" x14ac:dyDescent="0.25">
      <c r="A390" t="s">
        <v>73</v>
      </c>
      <c r="B390" t="s">
        <v>74</v>
      </c>
      <c r="C390" t="s">
        <v>75</v>
      </c>
      <c r="D390" t="s">
        <v>16</v>
      </c>
      <c r="E390" t="s">
        <v>17</v>
      </c>
      <c r="F390" t="s">
        <v>18</v>
      </c>
      <c r="G390" t="s">
        <v>18</v>
      </c>
      <c r="H390" t="s">
        <v>18</v>
      </c>
      <c r="I390" t="s">
        <v>704</v>
      </c>
      <c r="J390">
        <v>7</v>
      </c>
      <c r="K390" t="s">
        <v>350</v>
      </c>
      <c r="L390" t="s">
        <v>76</v>
      </c>
      <c r="M390" t="str">
        <f t="shared" si="53"/>
        <v>Stress</v>
      </c>
      <c r="R390" t="s">
        <v>408</v>
      </c>
      <c r="S390" t="s">
        <v>701</v>
      </c>
      <c r="T390" t="s">
        <v>695</v>
      </c>
      <c r="U390" t="s">
        <v>609</v>
      </c>
      <c r="V390" s="4"/>
      <c r="W390" s="4"/>
      <c r="X390">
        <f>0.0000018/3600</f>
        <v>4.9999999999999993E-10</v>
      </c>
      <c r="Z390" s="3"/>
      <c r="AA390" s="3"/>
      <c r="AK390" t="s">
        <v>355</v>
      </c>
    </row>
    <row r="391" spans="1:37" hidden="1" x14ac:dyDescent="0.25">
      <c r="A391" t="s">
        <v>377</v>
      </c>
      <c r="B391" t="s">
        <v>14</v>
      </c>
      <c r="C391" t="s">
        <v>15</v>
      </c>
      <c r="D391" t="s">
        <v>16</v>
      </c>
      <c r="E391" t="s">
        <v>17</v>
      </c>
      <c r="F391" t="s">
        <v>18</v>
      </c>
      <c r="G391" t="s">
        <v>18</v>
      </c>
      <c r="H391" t="s">
        <v>18</v>
      </c>
      <c r="I391" t="s">
        <v>704</v>
      </c>
      <c r="J391">
        <f>+AVERAGE(14,17)</f>
        <v>15.5</v>
      </c>
      <c r="K391" t="s">
        <v>402</v>
      </c>
      <c r="L391" t="s">
        <v>36</v>
      </c>
      <c r="M391" t="str">
        <f t="shared" si="53"/>
        <v>Control</v>
      </c>
      <c r="R391" t="s">
        <v>408</v>
      </c>
      <c r="S391" t="s">
        <v>701</v>
      </c>
      <c r="T391" t="s">
        <v>695</v>
      </c>
      <c r="U391" t="s">
        <v>610</v>
      </c>
      <c r="V391" s="1"/>
      <c r="W391" s="1"/>
      <c r="X391" s="1"/>
      <c r="Y391" s="1"/>
      <c r="Z391" s="1"/>
      <c r="AA391" s="1"/>
      <c r="AB391" s="1">
        <v>1.7700000000000001E-7</v>
      </c>
      <c r="AF391" s="2"/>
      <c r="AG391" s="2"/>
      <c r="AK391" t="s">
        <v>348</v>
      </c>
    </row>
    <row r="392" spans="1:37" hidden="1" x14ac:dyDescent="0.25">
      <c r="A392" t="s">
        <v>377</v>
      </c>
      <c r="B392" t="s">
        <v>14</v>
      </c>
      <c r="C392" t="s">
        <v>15</v>
      </c>
      <c r="D392" t="s">
        <v>16</v>
      </c>
      <c r="E392" t="s">
        <v>17</v>
      </c>
      <c r="F392" t="s">
        <v>18</v>
      </c>
      <c r="G392" t="s">
        <v>18</v>
      </c>
      <c r="H392" t="s">
        <v>18</v>
      </c>
      <c r="I392" t="s">
        <v>704</v>
      </c>
      <c r="J392">
        <f>+AVERAGE(14,17)</f>
        <v>15.5</v>
      </c>
      <c r="K392" t="s">
        <v>402</v>
      </c>
      <c r="L392" t="s">
        <v>703</v>
      </c>
      <c r="M392" t="str">
        <f t="shared" si="53"/>
        <v>Stress</v>
      </c>
      <c r="R392" t="s">
        <v>408</v>
      </c>
      <c r="S392" t="s">
        <v>701</v>
      </c>
      <c r="T392" t="s">
        <v>695</v>
      </c>
      <c r="U392" t="s">
        <v>610</v>
      </c>
      <c r="V392" s="1"/>
      <c r="W392" s="1"/>
      <c r="X392" s="1"/>
      <c r="Y392" s="1"/>
      <c r="Z392" s="1"/>
      <c r="AA392" s="1"/>
      <c r="AB392" s="1">
        <f>0.256*AB391</f>
        <v>4.5312000000000002E-8</v>
      </c>
      <c r="AF392" s="2"/>
      <c r="AG392" s="2"/>
      <c r="AK392" t="s">
        <v>348</v>
      </c>
    </row>
    <row r="393" spans="1:37" hidden="1" x14ac:dyDescent="0.25">
      <c r="A393" t="s">
        <v>395</v>
      </c>
      <c r="B393" t="s">
        <v>14</v>
      </c>
      <c r="C393" t="s">
        <v>15</v>
      </c>
      <c r="D393" t="s">
        <v>16</v>
      </c>
      <c r="E393" t="s">
        <v>17</v>
      </c>
      <c r="F393" t="s">
        <v>18</v>
      </c>
      <c r="G393" t="s">
        <v>18</v>
      </c>
      <c r="H393" t="s">
        <v>18</v>
      </c>
      <c r="I393" t="s">
        <v>704</v>
      </c>
      <c r="J393">
        <f>+AVERAGE(14,17)</f>
        <v>15.5</v>
      </c>
      <c r="K393" t="s">
        <v>756</v>
      </c>
      <c r="L393" t="s">
        <v>756</v>
      </c>
      <c r="M393" t="s">
        <v>756</v>
      </c>
      <c r="R393" t="s">
        <v>408</v>
      </c>
      <c r="S393" t="s">
        <v>701</v>
      </c>
      <c r="T393" t="s">
        <v>695</v>
      </c>
      <c r="U393" t="s">
        <v>610</v>
      </c>
      <c r="V393" s="1" t="s">
        <v>774</v>
      </c>
      <c r="W393" s="1">
        <v>7.7999999999999999E-10</v>
      </c>
      <c r="X393" s="1"/>
      <c r="Y393" s="1"/>
      <c r="Z393" s="1"/>
      <c r="AA393" s="1"/>
      <c r="AF393" s="2"/>
      <c r="AG393" s="2"/>
      <c r="AK393" t="s">
        <v>348</v>
      </c>
    </row>
    <row r="394" spans="1:37" hidden="1" x14ac:dyDescent="0.25">
      <c r="A394" t="s">
        <v>77</v>
      </c>
      <c r="B394" t="s">
        <v>50</v>
      </c>
      <c r="C394" t="s">
        <v>51</v>
      </c>
      <c r="D394" t="s">
        <v>16</v>
      </c>
      <c r="E394" t="s">
        <v>29</v>
      </c>
      <c r="F394" t="s">
        <v>30</v>
      </c>
      <c r="G394" t="s">
        <v>30</v>
      </c>
      <c r="H394" t="s">
        <v>30</v>
      </c>
      <c r="I394" t="s">
        <v>704</v>
      </c>
      <c r="J394">
        <f>22+[58]Hu_etal_2011_Fig3!B2</f>
        <v>27</v>
      </c>
      <c r="K394" t="s">
        <v>464</v>
      </c>
      <c r="L394" t="s">
        <v>36</v>
      </c>
      <c r="M394" t="str">
        <f t="shared" ref="M394:M414" si="54">+IF(L394 = "Control", "Control", "Stress")</f>
        <v>Control</v>
      </c>
      <c r="R394" t="s">
        <v>408</v>
      </c>
      <c r="S394" t="s">
        <v>701</v>
      </c>
      <c r="T394" t="s">
        <v>695</v>
      </c>
      <c r="U394" t="s">
        <v>609</v>
      </c>
      <c r="V394" s="1" t="s">
        <v>774</v>
      </c>
      <c r="W394" s="1">
        <f>+[58]Hu_etal_2011_Fig3!C2</f>
        <v>9.9999999999999903E-10</v>
      </c>
      <c r="X394" s="1"/>
      <c r="Y394" s="1"/>
      <c r="Z394" s="1"/>
      <c r="AA394" s="1"/>
      <c r="AD394" s="3">
        <f>[59]Hu_etal_2011_Fig9a!$C$3</f>
        <v>56.193939393939303</v>
      </c>
      <c r="AF394" s="2"/>
      <c r="AG394" s="2"/>
      <c r="AK394" t="s">
        <v>199</v>
      </c>
    </row>
    <row r="395" spans="1:37" hidden="1" x14ac:dyDescent="0.25">
      <c r="A395" t="s">
        <v>77</v>
      </c>
      <c r="B395" t="s">
        <v>50</v>
      </c>
      <c r="C395" t="s">
        <v>51</v>
      </c>
      <c r="D395" t="s">
        <v>16</v>
      </c>
      <c r="E395" t="s">
        <v>29</v>
      </c>
      <c r="F395" t="s">
        <v>30</v>
      </c>
      <c r="G395" t="s">
        <v>30</v>
      </c>
      <c r="H395" t="s">
        <v>30</v>
      </c>
      <c r="I395" t="s">
        <v>704</v>
      </c>
      <c r="J395">
        <f>22+[58]Hu_etal_2011_Fig3!B3</f>
        <v>27</v>
      </c>
      <c r="K395" t="s">
        <v>464</v>
      </c>
      <c r="L395" t="s">
        <v>78</v>
      </c>
      <c r="M395" t="s">
        <v>707</v>
      </c>
      <c r="R395" t="s">
        <v>408</v>
      </c>
      <c r="S395" t="s">
        <v>701</v>
      </c>
      <c r="T395" t="s">
        <v>695</v>
      </c>
      <c r="U395" t="s">
        <v>609</v>
      </c>
      <c r="V395" s="1" t="s">
        <v>774</v>
      </c>
      <c r="W395" s="1">
        <f>+[58]Hu_etal_2011_Fig3!C3</f>
        <v>1.1269841269841199E-9</v>
      </c>
      <c r="X395" s="1"/>
      <c r="Y395" s="1"/>
      <c r="Z395" s="1"/>
      <c r="AA395" s="1"/>
      <c r="AD395" s="3">
        <f>[59]Hu_etal_2011_Fig9a!$C$5</f>
        <v>50.860606060606003</v>
      </c>
      <c r="AF395" s="2"/>
      <c r="AG395" s="2"/>
      <c r="AK395" t="s">
        <v>199</v>
      </c>
    </row>
    <row r="396" spans="1:37" hidden="1" x14ac:dyDescent="0.25">
      <c r="A396" t="s">
        <v>77</v>
      </c>
      <c r="B396" t="s">
        <v>50</v>
      </c>
      <c r="C396" t="s">
        <v>51</v>
      </c>
      <c r="D396" t="s">
        <v>16</v>
      </c>
      <c r="E396" t="s">
        <v>29</v>
      </c>
      <c r="F396" t="s">
        <v>30</v>
      </c>
      <c r="G396" t="s">
        <v>30</v>
      </c>
      <c r="H396" t="s">
        <v>30</v>
      </c>
      <c r="I396" t="s">
        <v>704</v>
      </c>
      <c r="J396">
        <f>22+[58]Hu_etal_2011_Fig3!B4</f>
        <v>27</v>
      </c>
      <c r="K396" t="s">
        <v>464</v>
      </c>
      <c r="L396" t="s">
        <v>79</v>
      </c>
      <c r="M396" t="s">
        <v>707</v>
      </c>
      <c r="R396" t="s">
        <v>408</v>
      </c>
      <c r="S396" t="s">
        <v>701</v>
      </c>
      <c r="T396" t="s">
        <v>695</v>
      </c>
      <c r="U396" t="s">
        <v>609</v>
      </c>
      <c r="V396" s="1" t="s">
        <v>774</v>
      </c>
      <c r="W396" s="1">
        <f>+[58]Hu_etal_2011_Fig3!C4</f>
        <v>1.1269841269841199E-9</v>
      </c>
      <c r="X396" s="1"/>
      <c r="Y396" s="1"/>
      <c r="Z396" s="1"/>
      <c r="AA396" s="1"/>
      <c r="AD396" s="3">
        <f>[59]Hu_etal_2011_Fig9a!$C$7</f>
        <v>51.668686868686699</v>
      </c>
      <c r="AF396" s="2"/>
      <c r="AG396" s="2"/>
      <c r="AK396" t="s">
        <v>199</v>
      </c>
    </row>
    <row r="397" spans="1:37" hidden="1" x14ac:dyDescent="0.25">
      <c r="A397" t="s">
        <v>77</v>
      </c>
      <c r="B397" t="s">
        <v>50</v>
      </c>
      <c r="C397" t="s">
        <v>51</v>
      </c>
      <c r="D397" t="s">
        <v>16</v>
      </c>
      <c r="E397" t="s">
        <v>29</v>
      </c>
      <c r="F397" t="s">
        <v>30</v>
      </c>
      <c r="G397" t="s">
        <v>30</v>
      </c>
      <c r="H397" t="s">
        <v>30</v>
      </c>
      <c r="I397" t="s">
        <v>704</v>
      </c>
      <c r="J397">
        <f>22+[58]Hu_etal_2011_Fig3!B5</f>
        <v>37</v>
      </c>
      <c r="K397" t="s">
        <v>464</v>
      </c>
      <c r="L397" t="s">
        <v>36</v>
      </c>
      <c r="M397" t="str">
        <f t="shared" si="54"/>
        <v>Control</v>
      </c>
      <c r="R397" t="s">
        <v>408</v>
      </c>
      <c r="S397" t="s">
        <v>701</v>
      </c>
      <c r="T397" t="s">
        <v>695</v>
      </c>
      <c r="U397" t="s">
        <v>609</v>
      </c>
      <c r="V397" s="1" t="s">
        <v>774</v>
      </c>
      <c r="W397" s="1">
        <f>+[58]Hu_etal_2011_Fig3!C5</f>
        <v>1.3650793650793601E-9</v>
      </c>
      <c r="X397" s="1"/>
      <c r="Y397" s="1"/>
      <c r="Z397" s="1"/>
      <c r="AA397" s="1"/>
      <c r="AD397" s="3"/>
      <c r="AF397" s="2"/>
      <c r="AG397" s="2"/>
      <c r="AK397" t="s">
        <v>199</v>
      </c>
    </row>
    <row r="398" spans="1:37" hidden="1" x14ac:dyDescent="0.25">
      <c r="A398" t="s">
        <v>77</v>
      </c>
      <c r="B398" t="s">
        <v>50</v>
      </c>
      <c r="C398" t="s">
        <v>51</v>
      </c>
      <c r="D398" t="s">
        <v>16</v>
      </c>
      <c r="E398" t="s">
        <v>29</v>
      </c>
      <c r="F398" t="s">
        <v>30</v>
      </c>
      <c r="G398" t="s">
        <v>30</v>
      </c>
      <c r="H398" t="s">
        <v>30</v>
      </c>
      <c r="I398" t="s">
        <v>704</v>
      </c>
      <c r="J398">
        <f>22+[58]Hu_etal_2011_Fig3!B6</f>
        <v>37</v>
      </c>
      <c r="K398" t="s">
        <v>464</v>
      </c>
      <c r="L398" t="s">
        <v>78</v>
      </c>
      <c r="M398" t="s">
        <v>707</v>
      </c>
      <c r="R398" t="s">
        <v>408</v>
      </c>
      <c r="S398" t="s">
        <v>701</v>
      </c>
      <c r="T398" t="s">
        <v>695</v>
      </c>
      <c r="U398" t="s">
        <v>609</v>
      </c>
      <c r="V398" s="1" t="s">
        <v>774</v>
      </c>
      <c r="W398" s="1">
        <f>+[58]Hu_etal_2011_Fig3!C6</f>
        <v>1.23015873015872E-9</v>
      </c>
      <c r="X398" s="1"/>
      <c r="Y398" s="1"/>
      <c r="Z398" s="1"/>
      <c r="AA398" s="1"/>
      <c r="AD398" s="3"/>
      <c r="AF398" s="2"/>
      <c r="AG398" s="2"/>
      <c r="AK398" t="s">
        <v>199</v>
      </c>
    </row>
    <row r="399" spans="1:37" hidden="1" x14ac:dyDescent="0.25">
      <c r="A399" t="s">
        <v>77</v>
      </c>
      <c r="B399" t="s">
        <v>50</v>
      </c>
      <c r="C399" t="s">
        <v>51</v>
      </c>
      <c r="D399" t="s">
        <v>16</v>
      </c>
      <c r="E399" t="s">
        <v>29</v>
      </c>
      <c r="F399" t="s">
        <v>30</v>
      </c>
      <c r="G399" t="s">
        <v>30</v>
      </c>
      <c r="H399" t="s">
        <v>30</v>
      </c>
      <c r="I399" t="s">
        <v>704</v>
      </c>
      <c r="J399">
        <f>22+[58]Hu_etal_2011_Fig3!B7</f>
        <v>37</v>
      </c>
      <c r="K399" t="s">
        <v>464</v>
      </c>
      <c r="L399" t="s">
        <v>79</v>
      </c>
      <c r="M399" t="s">
        <v>707</v>
      </c>
      <c r="R399" t="s">
        <v>408</v>
      </c>
      <c r="S399" t="s">
        <v>701</v>
      </c>
      <c r="T399" t="s">
        <v>695</v>
      </c>
      <c r="U399" t="s">
        <v>609</v>
      </c>
      <c r="V399" s="1" t="s">
        <v>774</v>
      </c>
      <c r="W399" s="1">
        <f>+[58]Hu_etal_2011_Fig3!C7</f>
        <v>1.2499999999999901E-9</v>
      </c>
      <c r="X399" s="1"/>
      <c r="Y399" s="1"/>
      <c r="Z399" s="1"/>
      <c r="AA399" s="1"/>
      <c r="AD399" s="3"/>
      <c r="AF399" s="2"/>
      <c r="AG399" s="2"/>
      <c r="AK399" t="s">
        <v>199</v>
      </c>
    </row>
    <row r="400" spans="1:37" hidden="1" x14ac:dyDescent="0.25">
      <c r="A400" t="s">
        <v>77</v>
      </c>
      <c r="B400" t="s">
        <v>50</v>
      </c>
      <c r="C400" t="s">
        <v>51</v>
      </c>
      <c r="D400" t="s">
        <v>16</v>
      </c>
      <c r="E400" t="s">
        <v>29</v>
      </c>
      <c r="F400" t="s">
        <v>30</v>
      </c>
      <c r="G400" t="s">
        <v>30</v>
      </c>
      <c r="H400" t="s">
        <v>30</v>
      </c>
      <c r="I400" t="s">
        <v>704</v>
      </c>
      <c r="J400">
        <f>22+[58]Hu_etal_2011_Fig3!B8</f>
        <v>47</v>
      </c>
      <c r="K400" t="s">
        <v>464</v>
      </c>
      <c r="L400" t="s">
        <v>36</v>
      </c>
      <c r="M400" t="str">
        <f t="shared" si="54"/>
        <v>Control</v>
      </c>
      <c r="R400" t="s">
        <v>408</v>
      </c>
      <c r="S400" t="s">
        <v>701</v>
      </c>
      <c r="T400" t="s">
        <v>695</v>
      </c>
      <c r="U400" t="s">
        <v>609</v>
      </c>
      <c r="V400" s="1" t="s">
        <v>774</v>
      </c>
      <c r="W400" s="1">
        <f>+[58]Hu_etal_2011_Fig3!C8</f>
        <v>1.8174603174603101E-9</v>
      </c>
      <c r="X400" s="1"/>
      <c r="Y400" s="1"/>
      <c r="Z400" s="1"/>
      <c r="AA400" s="1"/>
      <c r="AD400" s="3"/>
      <c r="AF400" s="2"/>
      <c r="AG400" s="2"/>
      <c r="AK400" t="s">
        <v>199</v>
      </c>
    </row>
    <row r="401" spans="1:37" hidden="1" x14ac:dyDescent="0.25">
      <c r="A401" t="s">
        <v>77</v>
      </c>
      <c r="B401" t="s">
        <v>50</v>
      </c>
      <c r="C401" t="s">
        <v>51</v>
      </c>
      <c r="D401" t="s">
        <v>16</v>
      </c>
      <c r="E401" t="s">
        <v>29</v>
      </c>
      <c r="F401" t="s">
        <v>30</v>
      </c>
      <c r="G401" t="s">
        <v>30</v>
      </c>
      <c r="H401" t="s">
        <v>30</v>
      </c>
      <c r="I401" t="s">
        <v>704</v>
      </c>
      <c r="J401">
        <f>22+[58]Hu_etal_2011_Fig3!B9</f>
        <v>47</v>
      </c>
      <c r="K401" t="s">
        <v>464</v>
      </c>
      <c r="L401" t="s">
        <v>78</v>
      </c>
      <c r="M401" t="s">
        <v>707</v>
      </c>
      <c r="R401" t="s">
        <v>408</v>
      </c>
      <c r="S401" t="s">
        <v>701</v>
      </c>
      <c r="T401" t="s">
        <v>695</v>
      </c>
      <c r="U401" t="s">
        <v>609</v>
      </c>
      <c r="V401" s="1" t="s">
        <v>774</v>
      </c>
      <c r="W401" s="1">
        <f>+[58]Hu_etal_2011_Fig3!C9</f>
        <v>1.5396825396825301E-9</v>
      </c>
      <c r="X401" s="1"/>
      <c r="Y401" s="1"/>
      <c r="Z401" s="1"/>
      <c r="AA401" s="1"/>
      <c r="AD401" s="3"/>
      <c r="AF401" s="2"/>
      <c r="AG401" s="2"/>
      <c r="AK401" t="s">
        <v>199</v>
      </c>
    </row>
    <row r="402" spans="1:37" hidden="1" x14ac:dyDescent="0.25">
      <c r="A402" t="s">
        <v>77</v>
      </c>
      <c r="B402" t="s">
        <v>50</v>
      </c>
      <c r="C402" t="s">
        <v>51</v>
      </c>
      <c r="D402" t="s">
        <v>16</v>
      </c>
      <c r="E402" t="s">
        <v>29</v>
      </c>
      <c r="F402" t="s">
        <v>30</v>
      </c>
      <c r="G402" t="s">
        <v>30</v>
      </c>
      <c r="H402" t="s">
        <v>30</v>
      </c>
      <c r="I402" t="s">
        <v>704</v>
      </c>
      <c r="J402">
        <f>22+[58]Hu_etal_2011_Fig3!B10</f>
        <v>47</v>
      </c>
      <c r="K402" t="s">
        <v>464</v>
      </c>
      <c r="L402" t="s">
        <v>79</v>
      </c>
      <c r="M402" t="s">
        <v>707</v>
      </c>
      <c r="R402" t="s">
        <v>408</v>
      </c>
      <c r="S402" t="s">
        <v>701</v>
      </c>
      <c r="T402" t="s">
        <v>695</v>
      </c>
      <c r="U402" t="s">
        <v>609</v>
      </c>
      <c r="V402" s="1" t="s">
        <v>774</v>
      </c>
      <c r="W402" s="1">
        <f>+[58]Hu_etal_2011_Fig3!C10</f>
        <v>1.61111111111111E-9</v>
      </c>
      <c r="X402" s="1"/>
      <c r="Y402" s="1"/>
      <c r="Z402" s="1"/>
      <c r="AA402" s="1"/>
      <c r="AD402" s="3"/>
      <c r="AF402" s="2"/>
      <c r="AG402" s="2"/>
      <c r="AK402" t="s">
        <v>199</v>
      </c>
    </row>
    <row r="403" spans="1:37" hidden="1" x14ac:dyDescent="0.25">
      <c r="A403" t="s">
        <v>77</v>
      </c>
      <c r="B403" t="s">
        <v>50</v>
      </c>
      <c r="C403" t="s">
        <v>51</v>
      </c>
      <c r="D403" t="s">
        <v>16</v>
      </c>
      <c r="E403" t="s">
        <v>29</v>
      </c>
      <c r="F403" t="s">
        <v>30</v>
      </c>
      <c r="G403" t="s">
        <v>30</v>
      </c>
      <c r="H403" t="s">
        <v>30</v>
      </c>
      <c r="I403" t="s">
        <v>704</v>
      </c>
      <c r="J403">
        <f>22+[58]Hu_etal_2011_Fig3!B11</f>
        <v>57</v>
      </c>
      <c r="K403" t="s">
        <v>464</v>
      </c>
      <c r="L403" t="s">
        <v>36</v>
      </c>
      <c r="M403" t="str">
        <f t="shared" si="54"/>
        <v>Control</v>
      </c>
      <c r="R403" t="s">
        <v>408</v>
      </c>
      <c r="S403" t="s">
        <v>701</v>
      </c>
      <c r="T403" t="s">
        <v>695</v>
      </c>
      <c r="U403" t="s">
        <v>609</v>
      </c>
      <c r="V403" s="1" t="s">
        <v>774</v>
      </c>
      <c r="W403" s="1">
        <f>+[58]Hu_etal_2011_Fig3!C11</f>
        <v>2.7142857142857099E-9</v>
      </c>
      <c r="X403" s="1"/>
      <c r="Y403" s="1"/>
      <c r="Z403" s="1"/>
      <c r="AA403" s="1"/>
      <c r="AD403" s="3">
        <f>[59]Hu_etal_2011_Fig9a!$C$9</f>
        <v>141.23636363636359</v>
      </c>
      <c r="AF403" s="2"/>
      <c r="AG403" s="2"/>
      <c r="AK403" t="s">
        <v>199</v>
      </c>
    </row>
    <row r="404" spans="1:37" hidden="1" x14ac:dyDescent="0.25">
      <c r="A404" t="s">
        <v>77</v>
      </c>
      <c r="B404" t="s">
        <v>50</v>
      </c>
      <c r="C404" t="s">
        <v>51</v>
      </c>
      <c r="D404" t="s">
        <v>16</v>
      </c>
      <c r="E404" t="s">
        <v>29</v>
      </c>
      <c r="F404" t="s">
        <v>30</v>
      </c>
      <c r="G404" t="s">
        <v>30</v>
      </c>
      <c r="H404" t="s">
        <v>30</v>
      </c>
      <c r="I404" t="s">
        <v>704</v>
      </c>
      <c r="J404">
        <f>22+[58]Hu_etal_2011_Fig3!B12</f>
        <v>57</v>
      </c>
      <c r="K404" t="s">
        <v>464</v>
      </c>
      <c r="L404" t="s">
        <v>78</v>
      </c>
      <c r="M404" t="s">
        <v>707</v>
      </c>
      <c r="R404" t="s">
        <v>408</v>
      </c>
      <c r="S404" t="s">
        <v>701</v>
      </c>
      <c r="T404" t="s">
        <v>695</v>
      </c>
      <c r="U404" t="s">
        <v>609</v>
      </c>
      <c r="V404" s="1" t="s">
        <v>774</v>
      </c>
      <c r="W404" s="1">
        <f>+[58]Hu_etal_2011_Fig3!C12</f>
        <v>2.1071428571428501E-9</v>
      </c>
      <c r="X404" s="1"/>
      <c r="Y404" s="1"/>
      <c r="Z404" s="1"/>
      <c r="AA404" s="1"/>
      <c r="AD404" s="3">
        <f>[59]Hu_etal_2011_Fig9a!$C$11</f>
        <v>116.7999999999999</v>
      </c>
      <c r="AF404" s="2"/>
      <c r="AG404" s="2"/>
      <c r="AK404" t="s">
        <v>199</v>
      </c>
    </row>
    <row r="405" spans="1:37" hidden="1" x14ac:dyDescent="0.25">
      <c r="A405" t="s">
        <v>77</v>
      </c>
      <c r="B405" t="s">
        <v>50</v>
      </c>
      <c r="C405" t="s">
        <v>51</v>
      </c>
      <c r="D405" t="s">
        <v>16</v>
      </c>
      <c r="E405" t="s">
        <v>29</v>
      </c>
      <c r="F405" t="s">
        <v>30</v>
      </c>
      <c r="G405" t="s">
        <v>30</v>
      </c>
      <c r="H405" t="s">
        <v>30</v>
      </c>
      <c r="I405" t="s">
        <v>704</v>
      </c>
      <c r="J405">
        <f>22+[58]Hu_etal_2011_Fig3!B13</f>
        <v>57</v>
      </c>
      <c r="K405" t="s">
        <v>464</v>
      </c>
      <c r="L405" t="s">
        <v>79</v>
      </c>
      <c r="M405" t="s">
        <v>707</v>
      </c>
      <c r="R405" t="s">
        <v>408</v>
      </c>
      <c r="S405" t="s">
        <v>701</v>
      </c>
      <c r="T405" t="s">
        <v>695</v>
      </c>
      <c r="U405" t="s">
        <v>609</v>
      </c>
      <c r="V405" s="1" t="s">
        <v>774</v>
      </c>
      <c r="W405" s="1">
        <f>+[58]Hu_etal_2011_Fig3!C13</f>
        <v>2.38888888888888E-9</v>
      </c>
      <c r="X405" s="1"/>
      <c r="Y405" s="1"/>
      <c r="Z405" s="1"/>
      <c r="AA405" s="1"/>
      <c r="AD405" s="3">
        <f>[59]Hu_etal_2011_Fig9a!$C$13</f>
        <v>120.6787878787878</v>
      </c>
      <c r="AF405" s="2"/>
      <c r="AG405" s="2"/>
      <c r="AK405" t="s">
        <v>199</v>
      </c>
    </row>
    <row r="406" spans="1:37" hidden="1" x14ac:dyDescent="0.25">
      <c r="A406" t="s">
        <v>80</v>
      </c>
      <c r="B406" t="s">
        <v>14</v>
      </c>
      <c r="C406" t="s">
        <v>15</v>
      </c>
      <c r="D406" t="s">
        <v>16</v>
      </c>
      <c r="E406" t="s">
        <v>17</v>
      </c>
      <c r="F406" t="s">
        <v>18</v>
      </c>
      <c r="G406" t="s">
        <v>18</v>
      </c>
      <c r="H406" t="s">
        <v>18</v>
      </c>
      <c r="I406" t="s">
        <v>704</v>
      </c>
      <c r="J406">
        <v>4</v>
      </c>
      <c r="K406" t="s">
        <v>716</v>
      </c>
      <c r="L406" t="s">
        <v>36</v>
      </c>
      <c r="M406" t="str">
        <f t="shared" si="54"/>
        <v>Control</v>
      </c>
      <c r="R406" t="s">
        <v>408</v>
      </c>
      <c r="S406" t="s">
        <v>701</v>
      </c>
      <c r="T406" t="s">
        <v>695</v>
      </c>
      <c r="U406" t="s">
        <v>609</v>
      </c>
      <c r="V406" s="1"/>
      <c r="W406" s="1"/>
      <c r="X406" s="1"/>
      <c r="Y406" s="1"/>
      <c r="Z406" s="1"/>
      <c r="AA406" s="1"/>
      <c r="AB406" s="1">
        <f>[60]Horie_etal_2011_Fig7!B2</f>
        <v>5.1116389548693497E-7</v>
      </c>
      <c r="AF406" s="2"/>
      <c r="AG406" s="2"/>
      <c r="AK406" t="s">
        <v>199</v>
      </c>
    </row>
    <row r="407" spans="1:37" hidden="1" x14ac:dyDescent="0.25">
      <c r="A407" t="s">
        <v>80</v>
      </c>
      <c r="B407" t="s">
        <v>14</v>
      </c>
      <c r="C407" t="s">
        <v>15</v>
      </c>
      <c r="D407" t="s">
        <v>16</v>
      </c>
      <c r="E407" t="s">
        <v>17</v>
      </c>
      <c r="F407" t="s">
        <v>18</v>
      </c>
      <c r="G407" t="s">
        <v>18</v>
      </c>
      <c r="H407" t="s">
        <v>18</v>
      </c>
      <c r="I407" t="s">
        <v>704</v>
      </c>
      <c r="J407">
        <v>4</v>
      </c>
      <c r="K407" t="s">
        <v>716</v>
      </c>
      <c r="L407" t="s">
        <v>445</v>
      </c>
      <c r="M407" t="str">
        <f t="shared" si="54"/>
        <v>Stress</v>
      </c>
      <c r="N407" t="s">
        <v>717</v>
      </c>
      <c r="O407" t="s">
        <v>707</v>
      </c>
      <c r="R407" t="s">
        <v>408</v>
      </c>
      <c r="S407" t="s">
        <v>701</v>
      </c>
      <c r="T407" t="s">
        <v>695</v>
      </c>
      <c r="U407" t="s">
        <v>609</v>
      </c>
      <c r="V407" s="1"/>
      <c r="W407" s="1"/>
      <c r="X407" s="1"/>
      <c r="Y407" s="1"/>
      <c r="Z407" s="1"/>
      <c r="AA407" s="1"/>
      <c r="AB407" s="1">
        <f>[60]Horie_etal_2011_Fig7!B3</f>
        <v>3.3254156769596198E-7</v>
      </c>
      <c r="AF407" s="2"/>
      <c r="AG407" s="2"/>
      <c r="AK407" t="s">
        <v>199</v>
      </c>
    </row>
    <row r="408" spans="1:37" hidden="1" x14ac:dyDescent="0.25">
      <c r="A408" t="s">
        <v>80</v>
      </c>
      <c r="B408" t="s">
        <v>14</v>
      </c>
      <c r="C408" t="s">
        <v>15</v>
      </c>
      <c r="D408" t="s">
        <v>16</v>
      </c>
      <c r="E408" t="s">
        <v>17</v>
      </c>
      <c r="F408" t="s">
        <v>18</v>
      </c>
      <c r="G408" t="s">
        <v>18</v>
      </c>
      <c r="H408" t="s">
        <v>18</v>
      </c>
      <c r="I408" t="s">
        <v>704</v>
      </c>
      <c r="J408">
        <v>4</v>
      </c>
      <c r="K408" t="s">
        <v>716</v>
      </c>
      <c r="L408" t="s">
        <v>446</v>
      </c>
      <c r="M408" t="str">
        <f t="shared" si="54"/>
        <v>Stress</v>
      </c>
      <c r="N408" t="s">
        <v>717</v>
      </c>
      <c r="O408" t="s">
        <v>707</v>
      </c>
      <c r="R408" t="s">
        <v>408</v>
      </c>
      <c r="S408" t="s">
        <v>701</v>
      </c>
      <c r="T408" t="s">
        <v>695</v>
      </c>
      <c r="U408" t="s">
        <v>609</v>
      </c>
      <c r="V408" s="1"/>
      <c r="W408" s="1"/>
      <c r="X408" s="1"/>
      <c r="Y408" s="1"/>
      <c r="Z408" s="1"/>
      <c r="AA408" s="1"/>
      <c r="AB408" s="1">
        <f>[60]Horie_etal_2011_Fig7!B4</f>
        <v>3.0213776722090199E-7</v>
      </c>
      <c r="AF408" s="2"/>
      <c r="AG408" s="2"/>
      <c r="AK408" t="s">
        <v>199</v>
      </c>
    </row>
    <row r="409" spans="1:37" hidden="1" x14ac:dyDescent="0.25">
      <c r="A409" t="s">
        <v>80</v>
      </c>
      <c r="B409" t="s">
        <v>14</v>
      </c>
      <c r="C409" t="s">
        <v>15</v>
      </c>
      <c r="D409" t="s">
        <v>16</v>
      </c>
      <c r="E409" t="s">
        <v>17</v>
      </c>
      <c r="F409" t="s">
        <v>18</v>
      </c>
      <c r="G409" t="s">
        <v>18</v>
      </c>
      <c r="H409" t="s">
        <v>18</v>
      </c>
      <c r="I409" t="s">
        <v>704</v>
      </c>
      <c r="J409">
        <v>4</v>
      </c>
      <c r="K409" t="s">
        <v>716</v>
      </c>
      <c r="L409" t="s">
        <v>445</v>
      </c>
      <c r="M409" t="str">
        <f t="shared" si="54"/>
        <v>Stress</v>
      </c>
      <c r="N409" t="s">
        <v>718</v>
      </c>
      <c r="O409" t="s">
        <v>707</v>
      </c>
      <c r="R409" t="s">
        <v>408</v>
      </c>
      <c r="S409" t="s">
        <v>701</v>
      </c>
      <c r="T409" t="s">
        <v>695</v>
      </c>
      <c r="U409" t="s">
        <v>609</v>
      </c>
      <c r="V409" s="1"/>
      <c r="W409" s="1"/>
      <c r="X409" s="1"/>
      <c r="Y409" s="1"/>
      <c r="Z409" s="1"/>
      <c r="AA409" s="1"/>
      <c r="AB409" s="1">
        <f>[60]Horie_etal_2011_Fig7!B5</f>
        <v>2.0902612826603301E-8</v>
      </c>
      <c r="AF409" s="2"/>
      <c r="AG409" s="2"/>
      <c r="AK409" t="s">
        <v>199</v>
      </c>
    </row>
    <row r="410" spans="1:37" hidden="1" x14ac:dyDescent="0.25">
      <c r="A410" t="s">
        <v>80</v>
      </c>
      <c r="B410" t="s">
        <v>14</v>
      </c>
      <c r="C410" t="s">
        <v>15</v>
      </c>
      <c r="D410" t="s">
        <v>16</v>
      </c>
      <c r="E410" t="s">
        <v>17</v>
      </c>
      <c r="F410" t="s">
        <v>18</v>
      </c>
      <c r="G410" t="s">
        <v>18</v>
      </c>
      <c r="H410" t="s">
        <v>18</v>
      </c>
      <c r="I410" t="s">
        <v>704</v>
      </c>
      <c r="J410">
        <v>4</v>
      </c>
      <c r="K410" t="s">
        <v>716</v>
      </c>
      <c r="L410" t="s">
        <v>446</v>
      </c>
      <c r="M410" t="str">
        <f t="shared" si="54"/>
        <v>Stress</v>
      </c>
      <c r="N410" t="s">
        <v>718</v>
      </c>
      <c r="O410" t="s">
        <v>707</v>
      </c>
      <c r="R410" t="s">
        <v>408</v>
      </c>
      <c r="S410" t="s">
        <v>701</v>
      </c>
      <c r="T410" t="s">
        <v>695</v>
      </c>
      <c r="U410" t="s">
        <v>609</v>
      </c>
      <c r="V410" s="1"/>
      <c r="W410" s="1"/>
      <c r="X410" s="1"/>
      <c r="Y410" s="1"/>
      <c r="Z410" s="1"/>
      <c r="AA410" s="1"/>
      <c r="AB410" s="1">
        <f>[60]Horie_etal_2011_Fig7!B6</f>
        <v>6.8408551068883604E-8</v>
      </c>
      <c r="AF410" s="2"/>
      <c r="AG410" s="2"/>
      <c r="AK410" t="s">
        <v>199</v>
      </c>
    </row>
    <row r="411" spans="1:37" hidden="1" x14ac:dyDescent="0.25">
      <c r="A411" t="s">
        <v>318</v>
      </c>
      <c r="B411" t="s">
        <v>14</v>
      </c>
      <c r="C411" t="s">
        <v>15</v>
      </c>
      <c r="D411" t="s">
        <v>16</v>
      </c>
      <c r="E411" t="s">
        <v>17</v>
      </c>
      <c r="F411" t="s">
        <v>18</v>
      </c>
      <c r="G411" t="s">
        <v>18</v>
      </c>
      <c r="H411" t="s">
        <v>18</v>
      </c>
      <c r="I411" t="s">
        <v>704</v>
      </c>
      <c r="J411">
        <f>8+3</f>
        <v>11</v>
      </c>
      <c r="K411" t="s">
        <v>623</v>
      </c>
      <c r="L411" t="s">
        <v>36</v>
      </c>
      <c r="M411" t="str">
        <f t="shared" si="54"/>
        <v>Control</v>
      </c>
      <c r="N411" t="s">
        <v>447</v>
      </c>
      <c r="O411" t="s">
        <v>707</v>
      </c>
      <c r="R411" t="s">
        <v>408</v>
      </c>
      <c r="S411" t="s">
        <v>701</v>
      </c>
      <c r="T411" t="s">
        <v>695</v>
      </c>
      <c r="U411" t="s">
        <v>610</v>
      </c>
      <c r="V411" s="1" t="s">
        <v>733</v>
      </c>
      <c r="W411" s="1">
        <f t="shared" ref="W411:W414" si="55">+X411*AG411</f>
        <v>2.0166666666666664E-10</v>
      </c>
      <c r="X411" s="1">
        <f>0.0000003/3600</f>
        <v>8.333333333333333E-11</v>
      </c>
      <c r="Y411" s="1"/>
      <c r="Z411" s="1"/>
      <c r="AA411" s="1"/>
      <c r="AF411" s="2"/>
      <c r="AG411" s="2">
        <v>2.42</v>
      </c>
      <c r="AK411" t="s">
        <v>348</v>
      </c>
    </row>
    <row r="412" spans="1:37" hidden="1" x14ac:dyDescent="0.25">
      <c r="A412" t="s">
        <v>318</v>
      </c>
      <c r="B412" t="s">
        <v>14</v>
      </c>
      <c r="C412" t="s">
        <v>15</v>
      </c>
      <c r="D412" t="s">
        <v>16</v>
      </c>
      <c r="E412" t="s">
        <v>17</v>
      </c>
      <c r="F412" t="s">
        <v>18</v>
      </c>
      <c r="G412" t="s">
        <v>18</v>
      </c>
      <c r="H412" t="s">
        <v>18</v>
      </c>
      <c r="I412" t="s">
        <v>704</v>
      </c>
      <c r="J412">
        <f>8+3</f>
        <v>11</v>
      </c>
      <c r="K412" t="s">
        <v>623</v>
      </c>
      <c r="L412" t="s">
        <v>81</v>
      </c>
      <c r="M412" t="str">
        <f t="shared" si="54"/>
        <v>Stress</v>
      </c>
      <c r="N412" t="s">
        <v>447</v>
      </c>
      <c r="O412" t="s">
        <v>707</v>
      </c>
      <c r="R412" t="s">
        <v>408</v>
      </c>
      <c r="S412" t="s">
        <v>701</v>
      </c>
      <c r="T412" t="s">
        <v>695</v>
      </c>
      <c r="U412" t="s">
        <v>610</v>
      </c>
      <c r="V412" s="1" t="s">
        <v>733</v>
      </c>
      <c r="W412" s="1">
        <f t="shared" si="55"/>
        <v>1.2541666666666667E-10</v>
      </c>
      <c r="X412" s="1">
        <f>0.000000215/3600</f>
        <v>5.9722222222222218E-11</v>
      </c>
      <c r="Y412" s="1"/>
      <c r="Z412" s="1"/>
      <c r="AA412" s="1"/>
      <c r="AF412" s="2"/>
      <c r="AG412" s="2">
        <v>2.1</v>
      </c>
      <c r="AK412" t="s">
        <v>348</v>
      </c>
    </row>
    <row r="413" spans="1:37" hidden="1" x14ac:dyDescent="0.25">
      <c r="A413" t="s">
        <v>318</v>
      </c>
      <c r="B413" t="s">
        <v>14</v>
      </c>
      <c r="C413" t="s">
        <v>15</v>
      </c>
      <c r="D413" t="s">
        <v>16</v>
      </c>
      <c r="E413" t="s">
        <v>17</v>
      </c>
      <c r="F413" t="s">
        <v>18</v>
      </c>
      <c r="G413" t="s">
        <v>18</v>
      </c>
      <c r="H413" t="s">
        <v>18</v>
      </c>
      <c r="I413" t="s">
        <v>704</v>
      </c>
      <c r="J413">
        <f>8+3</f>
        <v>11</v>
      </c>
      <c r="K413" t="s">
        <v>623</v>
      </c>
      <c r="L413" t="s">
        <v>36</v>
      </c>
      <c r="M413" t="str">
        <f t="shared" si="54"/>
        <v>Control</v>
      </c>
      <c r="N413" t="s">
        <v>448</v>
      </c>
      <c r="O413" t="s">
        <v>707</v>
      </c>
      <c r="R413" t="s">
        <v>408</v>
      </c>
      <c r="S413" t="s">
        <v>701</v>
      </c>
      <c r="T413" t="s">
        <v>695</v>
      </c>
      <c r="U413" t="s">
        <v>610</v>
      </c>
      <c r="V413" s="1" t="s">
        <v>733</v>
      </c>
      <c r="W413" s="1">
        <f t="shared" si="55"/>
        <v>2.4999999999999996E-10</v>
      </c>
      <c r="X413" s="1">
        <f>0.00000045/3600</f>
        <v>1.2499999999999998E-10</v>
      </c>
      <c r="Y413" s="1"/>
      <c r="Z413" s="1"/>
      <c r="AA413" s="1"/>
      <c r="AF413" s="2"/>
      <c r="AG413" s="2">
        <v>2</v>
      </c>
      <c r="AK413" t="s">
        <v>348</v>
      </c>
    </row>
    <row r="414" spans="1:37" hidden="1" x14ac:dyDescent="0.25">
      <c r="A414" t="s">
        <v>318</v>
      </c>
      <c r="B414" t="s">
        <v>14</v>
      </c>
      <c r="C414" t="s">
        <v>15</v>
      </c>
      <c r="D414" t="s">
        <v>16</v>
      </c>
      <c r="E414" t="s">
        <v>17</v>
      </c>
      <c r="F414" t="s">
        <v>18</v>
      </c>
      <c r="G414" t="s">
        <v>18</v>
      </c>
      <c r="H414" t="s">
        <v>18</v>
      </c>
      <c r="I414" t="s">
        <v>704</v>
      </c>
      <c r="J414">
        <f>8+3</f>
        <v>11</v>
      </c>
      <c r="K414" t="s">
        <v>623</v>
      </c>
      <c r="L414" t="s">
        <v>81</v>
      </c>
      <c r="M414" t="str">
        <f t="shared" si="54"/>
        <v>Stress</v>
      </c>
      <c r="N414" t="s">
        <v>448</v>
      </c>
      <c r="O414" t="s">
        <v>707</v>
      </c>
      <c r="R414" t="s">
        <v>408</v>
      </c>
      <c r="S414" t="s">
        <v>701</v>
      </c>
      <c r="T414" t="s">
        <v>695</v>
      </c>
      <c r="U414" t="s">
        <v>610</v>
      </c>
      <c r="V414" s="1" t="s">
        <v>733</v>
      </c>
      <c r="W414" s="1">
        <f t="shared" si="55"/>
        <v>1.4079999999999999E-10</v>
      </c>
      <c r="X414" s="1">
        <f>0.000000256/3600</f>
        <v>7.1111111111111115E-11</v>
      </c>
      <c r="Y414" s="1"/>
      <c r="Z414" s="1"/>
      <c r="AA414" s="1"/>
      <c r="AF414" s="2"/>
      <c r="AG414" s="2">
        <v>1.98</v>
      </c>
      <c r="AK414" t="s">
        <v>348</v>
      </c>
    </row>
    <row r="415" spans="1:37" hidden="1" x14ac:dyDescent="0.25">
      <c r="A415" t="s">
        <v>319</v>
      </c>
      <c r="B415" t="s">
        <v>237</v>
      </c>
      <c r="C415" t="s">
        <v>151</v>
      </c>
      <c r="D415" t="s">
        <v>152</v>
      </c>
      <c r="E415" t="s">
        <v>17</v>
      </c>
      <c r="F415" t="s">
        <v>69</v>
      </c>
      <c r="G415" t="s">
        <v>763</v>
      </c>
      <c r="H415" t="s">
        <v>760</v>
      </c>
      <c r="I415" t="s">
        <v>705</v>
      </c>
      <c r="J415">
        <f>9*30</f>
        <v>270</v>
      </c>
      <c r="K415" t="s">
        <v>756</v>
      </c>
      <c r="L415" t="s">
        <v>756</v>
      </c>
      <c r="M415" t="s">
        <v>756</v>
      </c>
      <c r="R415" t="s">
        <v>408</v>
      </c>
      <c r="S415" t="s">
        <v>701</v>
      </c>
      <c r="T415" t="s">
        <v>695</v>
      </c>
      <c r="U415" t="s">
        <v>609</v>
      </c>
      <c r="V415" s="1" t="s">
        <v>733</v>
      </c>
      <c r="W415" s="1">
        <f t="shared" ref="W415:W416" si="56">+Y415*AF415</f>
        <v>2.31018E-8</v>
      </c>
      <c r="X415" s="1"/>
      <c r="Y415" s="1">
        <v>2.7700000000000002E-9</v>
      </c>
      <c r="Z415" s="1"/>
      <c r="AA415" s="1"/>
      <c r="AF415" s="2">
        <v>8.34</v>
      </c>
      <c r="AG415" s="2"/>
      <c r="AK415" t="s">
        <v>44</v>
      </c>
    </row>
    <row r="416" spans="1:37" hidden="1" x14ac:dyDescent="0.25">
      <c r="A416" t="s">
        <v>319</v>
      </c>
      <c r="B416" t="s">
        <v>236</v>
      </c>
      <c r="C416" t="s">
        <v>151</v>
      </c>
      <c r="D416" t="s">
        <v>152</v>
      </c>
      <c r="E416" t="s">
        <v>17</v>
      </c>
      <c r="F416" t="s">
        <v>69</v>
      </c>
      <c r="G416" t="s">
        <v>763</v>
      </c>
      <c r="H416" t="s">
        <v>760</v>
      </c>
      <c r="I416" t="s">
        <v>705</v>
      </c>
      <c r="J416">
        <f>9*30</f>
        <v>270</v>
      </c>
      <c r="K416" t="s">
        <v>756</v>
      </c>
      <c r="L416" t="s">
        <v>756</v>
      </c>
      <c r="M416" t="s">
        <v>756</v>
      </c>
      <c r="R416" t="s">
        <v>408</v>
      </c>
      <c r="S416" t="s">
        <v>701</v>
      </c>
      <c r="T416" t="s">
        <v>695</v>
      </c>
      <c r="U416" t="s">
        <v>609</v>
      </c>
      <c r="V416" s="1" t="s">
        <v>733</v>
      </c>
      <c r="W416" s="1">
        <f t="shared" si="56"/>
        <v>6.71874E-8</v>
      </c>
      <c r="X416" s="1"/>
      <c r="Y416" s="1">
        <v>7.1399999999999997E-9</v>
      </c>
      <c r="Z416" s="1"/>
      <c r="AA416" s="1"/>
      <c r="AF416" s="2">
        <v>9.41</v>
      </c>
      <c r="AG416" s="2"/>
      <c r="AK416" t="s">
        <v>44</v>
      </c>
    </row>
    <row r="417" spans="1:37" hidden="1" x14ac:dyDescent="0.25">
      <c r="A417" t="s">
        <v>321</v>
      </c>
      <c r="B417" t="s">
        <v>41</v>
      </c>
      <c r="C417" t="s">
        <v>42</v>
      </c>
      <c r="D417" t="s">
        <v>43</v>
      </c>
      <c r="E417" t="s">
        <v>17</v>
      </c>
      <c r="F417" t="s">
        <v>613</v>
      </c>
      <c r="G417" t="s">
        <v>613</v>
      </c>
      <c r="H417" t="s">
        <v>613</v>
      </c>
      <c r="I417" t="s">
        <v>804</v>
      </c>
      <c r="J417">
        <f t="shared" ref="J417:J424" si="57">3*30</f>
        <v>90</v>
      </c>
      <c r="K417" t="s">
        <v>693</v>
      </c>
      <c r="L417" t="s">
        <v>36</v>
      </c>
      <c r="M417" t="str">
        <f t="shared" ref="M417:M459" si="58">+IF(L417 = "Control", "Control", "Stress")</f>
        <v>Control</v>
      </c>
      <c r="N417" t="s">
        <v>457</v>
      </c>
      <c r="O417" t="s">
        <v>707</v>
      </c>
      <c r="P417" t="s">
        <v>487</v>
      </c>
      <c r="Q417" t="s">
        <v>707</v>
      </c>
      <c r="R417" t="s">
        <v>408</v>
      </c>
      <c r="S417" t="s">
        <v>701</v>
      </c>
      <c r="T417" t="s">
        <v>695</v>
      </c>
      <c r="U417" t="s">
        <v>609</v>
      </c>
      <c r="V417" s="1"/>
      <c r="W417" s="1"/>
      <c r="X417" s="1"/>
      <c r="Y417" s="1">
        <f>[61]Vandeleur_etal_2009_Fig2!B2</f>
        <v>6.4454732510287996E-10</v>
      </c>
      <c r="AK417" t="s">
        <v>44</v>
      </c>
    </row>
    <row r="418" spans="1:37" hidden="1" x14ac:dyDescent="0.25">
      <c r="A418" t="s">
        <v>321</v>
      </c>
      <c r="B418" t="s">
        <v>41</v>
      </c>
      <c r="C418" t="s">
        <v>42</v>
      </c>
      <c r="D418" t="s">
        <v>43</v>
      </c>
      <c r="E418" t="s">
        <v>17</v>
      </c>
      <c r="F418" t="s">
        <v>613</v>
      </c>
      <c r="G418" t="s">
        <v>613</v>
      </c>
      <c r="H418" t="s">
        <v>613</v>
      </c>
      <c r="I418" t="s">
        <v>804</v>
      </c>
      <c r="J418">
        <f t="shared" si="57"/>
        <v>90</v>
      </c>
      <c r="K418" t="s">
        <v>693</v>
      </c>
      <c r="L418" t="s">
        <v>36</v>
      </c>
      <c r="M418" t="str">
        <f t="shared" si="58"/>
        <v>Control</v>
      </c>
      <c r="N418" t="s">
        <v>457</v>
      </c>
      <c r="O418" t="s">
        <v>707</v>
      </c>
      <c r="P418" t="s">
        <v>493</v>
      </c>
      <c r="Q418" t="s">
        <v>707</v>
      </c>
      <c r="R418" t="s">
        <v>408</v>
      </c>
      <c r="S418" t="s">
        <v>701</v>
      </c>
      <c r="T418" t="s">
        <v>695</v>
      </c>
      <c r="U418" t="s">
        <v>609</v>
      </c>
      <c r="V418" s="1"/>
      <c r="W418" s="1"/>
      <c r="X418" s="1"/>
      <c r="Y418" s="1">
        <f>[61]Vandeleur_etal_2009_Fig2!B3</f>
        <v>1.3143004115226301E-9</v>
      </c>
      <c r="AK418" t="s">
        <v>44</v>
      </c>
    </row>
    <row r="419" spans="1:37" hidden="1" x14ac:dyDescent="0.25">
      <c r="A419" t="s">
        <v>321</v>
      </c>
      <c r="B419" t="s">
        <v>41</v>
      </c>
      <c r="C419" t="s">
        <v>42</v>
      </c>
      <c r="D419" t="s">
        <v>43</v>
      </c>
      <c r="E419" t="s">
        <v>17</v>
      </c>
      <c r="F419" t="s">
        <v>613</v>
      </c>
      <c r="G419" t="s">
        <v>613</v>
      </c>
      <c r="H419" t="s">
        <v>613</v>
      </c>
      <c r="I419" t="s">
        <v>804</v>
      </c>
      <c r="J419">
        <f t="shared" si="57"/>
        <v>90</v>
      </c>
      <c r="K419" t="s">
        <v>693</v>
      </c>
      <c r="L419" t="s">
        <v>36</v>
      </c>
      <c r="M419" t="str">
        <f t="shared" si="58"/>
        <v>Control</v>
      </c>
      <c r="N419" t="s">
        <v>458</v>
      </c>
      <c r="O419" t="s">
        <v>707</v>
      </c>
      <c r="P419" t="s">
        <v>487</v>
      </c>
      <c r="Q419" t="s">
        <v>707</v>
      </c>
      <c r="R419" t="s">
        <v>408</v>
      </c>
      <c r="S419" t="s">
        <v>701</v>
      </c>
      <c r="T419" t="s">
        <v>695</v>
      </c>
      <c r="U419" t="s">
        <v>609</v>
      </c>
      <c r="V419" s="1"/>
      <c r="W419" s="1"/>
      <c r="X419" s="1"/>
      <c r="Y419" s="1">
        <f>[61]Vandeleur_etal_2009_Fig2!B4</f>
        <v>5.14917695473251E-10</v>
      </c>
      <c r="AK419" t="s">
        <v>44</v>
      </c>
    </row>
    <row r="420" spans="1:37" hidden="1" x14ac:dyDescent="0.25">
      <c r="A420" t="s">
        <v>321</v>
      </c>
      <c r="B420" t="s">
        <v>41</v>
      </c>
      <c r="C420" t="s">
        <v>42</v>
      </c>
      <c r="D420" t="s">
        <v>43</v>
      </c>
      <c r="E420" t="s">
        <v>17</v>
      </c>
      <c r="F420" t="s">
        <v>613</v>
      </c>
      <c r="G420" t="s">
        <v>613</v>
      </c>
      <c r="H420" t="s">
        <v>613</v>
      </c>
      <c r="I420" t="s">
        <v>804</v>
      </c>
      <c r="J420">
        <f t="shared" si="57"/>
        <v>90</v>
      </c>
      <c r="K420" t="s">
        <v>693</v>
      </c>
      <c r="L420" t="s">
        <v>36</v>
      </c>
      <c r="M420" t="str">
        <f t="shared" si="58"/>
        <v>Control</v>
      </c>
      <c r="N420" t="s">
        <v>458</v>
      </c>
      <c r="O420" t="s">
        <v>707</v>
      </c>
      <c r="P420" t="s">
        <v>493</v>
      </c>
      <c r="Q420" t="s">
        <v>707</v>
      </c>
      <c r="R420" t="s">
        <v>408</v>
      </c>
      <c r="S420" t="s">
        <v>701</v>
      </c>
      <c r="T420" t="s">
        <v>695</v>
      </c>
      <c r="U420" t="s">
        <v>609</v>
      </c>
      <c r="V420" s="1"/>
      <c r="W420" s="1"/>
      <c r="X420" s="1"/>
      <c r="Y420" s="1">
        <f>[61]Vandeleur_etal_2009_Fig2!B5</f>
        <v>1.11985596707818E-9</v>
      </c>
      <c r="AK420" t="s">
        <v>44</v>
      </c>
    </row>
    <row r="421" spans="1:37" hidden="1" x14ac:dyDescent="0.25">
      <c r="A421" t="s">
        <v>321</v>
      </c>
      <c r="B421" t="s">
        <v>41</v>
      </c>
      <c r="C421" t="s">
        <v>42</v>
      </c>
      <c r="D421" t="s">
        <v>43</v>
      </c>
      <c r="E421" t="s">
        <v>17</v>
      </c>
      <c r="F421" t="s">
        <v>613</v>
      </c>
      <c r="G421" t="s">
        <v>613</v>
      </c>
      <c r="H421" t="s">
        <v>613</v>
      </c>
      <c r="I421" t="s">
        <v>804</v>
      </c>
      <c r="J421">
        <f t="shared" si="57"/>
        <v>90</v>
      </c>
      <c r="K421" t="s">
        <v>693</v>
      </c>
      <c r="L421" t="s">
        <v>48</v>
      </c>
      <c r="M421" t="str">
        <f t="shared" si="58"/>
        <v>Stress</v>
      </c>
      <c r="N421" t="s">
        <v>457</v>
      </c>
      <c r="O421" t="s">
        <v>707</v>
      </c>
      <c r="P421" t="s">
        <v>487</v>
      </c>
      <c r="Q421" t="s">
        <v>707</v>
      </c>
      <c r="R421" t="s">
        <v>408</v>
      </c>
      <c r="S421" t="s">
        <v>701</v>
      </c>
      <c r="T421" t="s">
        <v>695</v>
      </c>
      <c r="U421" t="s">
        <v>609</v>
      </c>
      <c r="V421" s="1"/>
      <c r="W421" s="1"/>
      <c r="X421" s="1"/>
      <c r="Y421" s="1">
        <f>[61]Vandeleur_etal_2009_Fig2!B6</f>
        <v>1.26028806584362E-10</v>
      </c>
      <c r="AK421" t="s">
        <v>44</v>
      </c>
    </row>
    <row r="422" spans="1:37" hidden="1" x14ac:dyDescent="0.25">
      <c r="A422" t="s">
        <v>321</v>
      </c>
      <c r="B422" t="s">
        <v>41</v>
      </c>
      <c r="C422" t="s">
        <v>42</v>
      </c>
      <c r="D422" t="s">
        <v>43</v>
      </c>
      <c r="E422" t="s">
        <v>17</v>
      </c>
      <c r="F422" t="s">
        <v>613</v>
      </c>
      <c r="G422" t="s">
        <v>613</v>
      </c>
      <c r="H422" t="s">
        <v>613</v>
      </c>
      <c r="I422" t="s">
        <v>804</v>
      </c>
      <c r="J422">
        <f t="shared" si="57"/>
        <v>90</v>
      </c>
      <c r="K422" t="s">
        <v>693</v>
      </c>
      <c r="L422" t="s">
        <v>48</v>
      </c>
      <c r="M422" t="str">
        <f t="shared" si="58"/>
        <v>Stress</v>
      </c>
      <c r="N422" t="s">
        <v>457</v>
      </c>
      <c r="O422" t="s">
        <v>707</v>
      </c>
      <c r="P422" t="s">
        <v>493</v>
      </c>
      <c r="Q422" t="s">
        <v>707</v>
      </c>
      <c r="R422" t="s">
        <v>408</v>
      </c>
      <c r="S422" t="s">
        <v>701</v>
      </c>
      <c r="T422" t="s">
        <v>695</v>
      </c>
      <c r="U422" t="s">
        <v>609</v>
      </c>
      <c r="V422" s="1"/>
      <c r="W422" s="1"/>
      <c r="X422" s="1"/>
      <c r="Y422" s="1">
        <f>[61]Vandeleur_etal_2009_Fig2!B7</f>
        <v>7.0216049382715996E-10</v>
      </c>
      <c r="AK422" t="s">
        <v>44</v>
      </c>
    </row>
    <row r="423" spans="1:37" hidden="1" x14ac:dyDescent="0.25">
      <c r="A423" t="s">
        <v>321</v>
      </c>
      <c r="B423" t="s">
        <v>41</v>
      </c>
      <c r="C423" t="s">
        <v>42</v>
      </c>
      <c r="D423" t="s">
        <v>43</v>
      </c>
      <c r="E423" t="s">
        <v>17</v>
      </c>
      <c r="F423" t="s">
        <v>613</v>
      </c>
      <c r="G423" t="s">
        <v>613</v>
      </c>
      <c r="H423" t="s">
        <v>613</v>
      </c>
      <c r="I423" t="s">
        <v>804</v>
      </c>
      <c r="J423">
        <f t="shared" si="57"/>
        <v>90</v>
      </c>
      <c r="K423" t="s">
        <v>693</v>
      </c>
      <c r="L423" t="s">
        <v>48</v>
      </c>
      <c r="M423" t="str">
        <f t="shared" si="58"/>
        <v>Stress</v>
      </c>
      <c r="N423" t="s">
        <v>458</v>
      </c>
      <c r="O423" t="s">
        <v>707</v>
      </c>
      <c r="P423" t="s">
        <v>487</v>
      </c>
      <c r="Q423" t="s">
        <v>707</v>
      </c>
      <c r="R423" t="s">
        <v>408</v>
      </c>
      <c r="S423" t="s">
        <v>701</v>
      </c>
      <c r="T423" t="s">
        <v>695</v>
      </c>
      <c r="U423" t="s">
        <v>609</v>
      </c>
      <c r="V423" s="1"/>
      <c r="W423" s="1"/>
      <c r="X423" s="1"/>
      <c r="Y423" s="1">
        <f>[61]Vandeleur_etal_2009_Fig2!B8</f>
        <v>1.1882716049382699E-10</v>
      </c>
      <c r="AK423" t="s">
        <v>44</v>
      </c>
    </row>
    <row r="424" spans="1:37" hidden="1" x14ac:dyDescent="0.25">
      <c r="A424" t="s">
        <v>321</v>
      </c>
      <c r="B424" t="s">
        <v>41</v>
      </c>
      <c r="C424" t="s">
        <v>42</v>
      </c>
      <c r="D424" t="s">
        <v>43</v>
      </c>
      <c r="E424" t="s">
        <v>17</v>
      </c>
      <c r="F424" t="s">
        <v>613</v>
      </c>
      <c r="G424" t="s">
        <v>613</v>
      </c>
      <c r="H424" t="s">
        <v>613</v>
      </c>
      <c r="I424" t="s">
        <v>804</v>
      </c>
      <c r="J424">
        <f t="shared" si="57"/>
        <v>90</v>
      </c>
      <c r="K424" t="s">
        <v>693</v>
      </c>
      <c r="L424" t="s">
        <v>48</v>
      </c>
      <c r="M424" t="str">
        <f t="shared" si="58"/>
        <v>Stress</v>
      </c>
      <c r="N424" t="s">
        <v>458</v>
      </c>
      <c r="O424" t="s">
        <v>707</v>
      </c>
      <c r="P424" t="s">
        <v>493</v>
      </c>
      <c r="Q424" t="s">
        <v>707</v>
      </c>
      <c r="R424" t="s">
        <v>408</v>
      </c>
      <c r="S424" t="s">
        <v>701</v>
      </c>
      <c r="T424" t="s">
        <v>695</v>
      </c>
      <c r="U424" t="s">
        <v>609</v>
      </c>
      <c r="V424" s="1"/>
      <c r="W424" s="1"/>
      <c r="X424" s="1"/>
      <c r="Y424" s="1">
        <f>[61]Vandeleur_etal_2009_Fig2!B9</f>
        <v>2.5565843621399098E-10</v>
      </c>
      <c r="AK424" t="s">
        <v>44</v>
      </c>
    </row>
    <row r="425" spans="1:37" hidden="1" x14ac:dyDescent="0.25">
      <c r="A425" t="s">
        <v>320</v>
      </c>
      <c r="B425" t="s">
        <v>50</v>
      </c>
      <c r="C425" t="s">
        <v>51</v>
      </c>
      <c r="D425" t="s">
        <v>16</v>
      </c>
      <c r="E425" t="s">
        <v>29</v>
      </c>
      <c r="F425" t="s">
        <v>30</v>
      </c>
      <c r="G425" t="s">
        <v>30</v>
      </c>
      <c r="H425" t="s">
        <v>30</v>
      </c>
      <c r="I425" t="s">
        <v>704</v>
      </c>
      <c r="J425">
        <f t="shared" ref="J425:J432" si="59">+AVERAGE(53,56)</f>
        <v>54.5</v>
      </c>
      <c r="K425" t="s">
        <v>655</v>
      </c>
      <c r="L425" t="s">
        <v>36</v>
      </c>
      <c r="M425" t="str">
        <f t="shared" si="58"/>
        <v>Control</v>
      </c>
      <c r="N425" t="s">
        <v>36</v>
      </c>
      <c r="O425" t="str">
        <f t="shared" ref="O425:O444" si="60">+IF(N425="Control","Control","Stress")</f>
        <v>Control</v>
      </c>
      <c r="P425" t="s">
        <v>210</v>
      </c>
      <c r="Q425" t="s">
        <v>707</v>
      </c>
      <c r="R425" t="s">
        <v>408</v>
      </c>
      <c r="S425" t="s">
        <v>701</v>
      </c>
      <c r="T425" t="s">
        <v>695</v>
      </c>
      <c r="U425" t="s">
        <v>610</v>
      </c>
      <c r="V425" s="1" t="s">
        <v>733</v>
      </c>
      <c r="W425" s="1">
        <f t="shared" ref="W425:W432" si="61">+Y425*AF425</f>
        <v>1.3752598752598725E-10</v>
      </c>
      <c r="X425" s="1"/>
      <c r="Y425" s="1">
        <f>'[62]Ruiz-Lozano_etal_2009_Fig1b'!C2</f>
        <v>5.0935550935550834E-11</v>
      </c>
      <c r="AF425">
        <v>2.7</v>
      </c>
      <c r="AK425" t="s">
        <v>348</v>
      </c>
    </row>
    <row r="426" spans="1:37" hidden="1" x14ac:dyDescent="0.25">
      <c r="A426" t="s">
        <v>320</v>
      </c>
      <c r="B426" t="s">
        <v>50</v>
      </c>
      <c r="C426" t="s">
        <v>51</v>
      </c>
      <c r="D426" t="s">
        <v>16</v>
      </c>
      <c r="E426" t="s">
        <v>29</v>
      </c>
      <c r="F426" t="s">
        <v>30</v>
      </c>
      <c r="G426" t="s">
        <v>30</v>
      </c>
      <c r="H426" t="s">
        <v>30</v>
      </c>
      <c r="I426" t="s">
        <v>704</v>
      </c>
      <c r="J426">
        <f t="shared" si="59"/>
        <v>54.5</v>
      </c>
      <c r="K426" t="s">
        <v>655</v>
      </c>
      <c r="L426" t="s">
        <v>36</v>
      </c>
      <c r="M426" t="str">
        <f t="shared" si="58"/>
        <v>Control</v>
      </c>
      <c r="N426" t="s">
        <v>36</v>
      </c>
      <c r="O426" t="str">
        <f t="shared" si="60"/>
        <v>Control</v>
      </c>
      <c r="P426" t="s">
        <v>349</v>
      </c>
      <c r="Q426" t="s">
        <v>707</v>
      </c>
      <c r="R426" t="s">
        <v>408</v>
      </c>
      <c r="S426" t="s">
        <v>701</v>
      </c>
      <c r="T426" t="s">
        <v>695</v>
      </c>
      <c r="U426" t="s">
        <v>610</v>
      </c>
      <c r="V426" s="1" t="s">
        <v>733</v>
      </c>
      <c r="W426" s="1">
        <f t="shared" si="61"/>
        <v>1.0841995841995811E-10</v>
      </c>
      <c r="X426" s="1"/>
      <c r="Y426" s="1">
        <f>'[62]Ruiz-Lozano_etal_2009_Fig1b'!C3</f>
        <v>3.8721413721413614E-11</v>
      </c>
      <c r="AF426">
        <v>2.8</v>
      </c>
      <c r="AK426" t="s">
        <v>348</v>
      </c>
    </row>
    <row r="427" spans="1:37" hidden="1" x14ac:dyDescent="0.25">
      <c r="A427" t="s">
        <v>320</v>
      </c>
      <c r="B427" t="s">
        <v>50</v>
      </c>
      <c r="C427" t="s">
        <v>51</v>
      </c>
      <c r="D427" t="s">
        <v>16</v>
      </c>
      <c r="E427" t="s">
        <v>29</v>
      </c>
      <c r="F427" t="s">
        <v>30</v>
      </c>
      <c r="G427" t="s">
        <v>30</v>
      </c>
      <c r="H427" t="s">
        <v>30</v>
      </c>
      <c r="I427" t="s">
        <v>704</v>
      </c>
      <c r="J427">
        <f t="shared" si="59"/>
        <v>54.5</v>
      </c>
      <c r="K427" t="s">
        <v>655</v>
      </c>
      <c r="L427" t="s">
        <v>36</v>
      </c>
      <c r="M427" t="str">
        <f t="shared" si="58"/>
        <v>Control</v>
      </c>
      <c r="N427" t="s">
        <v>76</v>
      </c>
      <c r="O427" t="str">
        <f t="shared" si="60"/>
        <v>Stress</v>
      </c>
      <c r="P427" t="s">
        <v>210</v>
      </c>
      <c r="Q427" t="s">
        <v>707</v>
      </c>
      <c r="R427" t="s">
        <v>408</v>
      </c>
      <c r="S427" t="s">
        <v>701</v>
      </c>
      <c r="T427" t="s">
        <v>695</v>
      </c>
      <c r="U427" t="s">
        <v>610</v>
      </c>
      <c r="V427" s="1" t="s">
        <v>733</v>
      </c>
      <c r="W427" s="1">
        <f t="shared" si="61"/>
        <v>3.2538981288981258E-10</v>
      </c>
      <c r="X427" s="1"/>
      <c r="Y427" s="1">
        <f>'[62]Ruiz-Lozano_etal_2009_Fig1b'!C4</f>
        <v>1.7125779625779609E-10</v>
      </c>
      <c r="AF427">
        <v>1.9</v>
      </c>
      <c r="AK427" t="s">
        <v>348</v>
      </c>
    </row>
    <row r="428" spans="1:37" hidden="1" x14ac:dyDescent="0.25">
      <c r="A428" t="s">
        <v>320</v>
      </c>
      <c r="B428" t="s">
        <v>50</v>
      </c>
      <c r="C428" t="s">
        <v>51</v>
      </c>
      <c r="D428" t="s">
        <v>16</v>
      </c>
      <c r="E428" t="s">
        <v>29</v>
      </c>
      <c r="F428" t="s">
        <v>30</v>
      </c>
      <c r="G428" t="s">
        <v>30</v>
      </c>
      <c r="H428" t="s">
        <v>30</v>
      </c>
      <c r="I428" t="s">
        <v>704</v>
      </c>
      <c r="J428">
        <f t="shared" si="59"/>
        <v>54.5</v>
      </c>
      <c r="K428" t="s">
        <v>655</v>
      </c>
      <c r="L428" t="s">
        <v>36</v>
      </c>
      <c r="M428" t="str">
        <f t="shared" si="58"/>
        <v>Control</v>
      </c>
      <c r="N428" t="s">
        <v>76</v>
      </c>
      <c r="O428" t="str">
        <f t="shared" si="60"/>
        <v>Stress</v>
      </c>
      <c r="P428" t="s">
        <v>349</v>
      </c>
      <c r="Q428" t="s">
        <v>707</v>
      </c>
      <c r="R428" t="s">
        <v>408</v>
      </c>
      <c r="S428" t="s">
        <v>701</v>
      </c>
      <c r="T428" t="s">
        <v>695</v>
      </c>
      <c r="U428" t="s">
        <v>610</v>
      </c>
      <c r="V428" s="1" t="s">
        <v>733</v>
      </c>
      <c r="W428" s="1">
        <f t="shared" si="61"/>
        <v>2.0816008316008301E-10</v>
      </c>
      <c r="X428" s="1"/>
      <c r="Y428" s="1">
        <f>'[62]Ruiz-Lozano_etal_2009_Fig1b'!C5</f>
        <v>1.1564449064449056E-10</v>
      </c>
      <c r="AF428">
        <v>1.8</v>
      </c>
      <c r="AK428" t="s">
        <v>348</v>
      </c>
    </row>
    <row r="429" spans="1:37" hidden="1" x14ac:dyDescent="0.25">
      <c r="A429" t="s">
        <v>320</v>
      </c>
      <c r="B429" t="s">
        <v>50</v>
      </c>
      <c r="C429" t="s">
        <v>51</v>
      </c>
      <c r="D429" t="s">
        <v>16</v>
      </c>
      <c r="E429" t="s">
        <v>29</v>
      </c>
      <c r="F429" t="s">
        <v>30</v>
      </c>
      <c r="G429" t="s">
        <v>30</v>
      </c>
      <c r="H429" t="s">
        <v>30</v>
      </c>
      <c r="I429" t="s">
        <v>704</v>
      </c>
      <c r="J429">
        <f t="shared" si="59"/>
        <v>54.5</v>
      </c>
      <c r="K429" t="s">
        <v>655</v>
      </c>
      <c r="L429" t="s">
        <v>48</v>
      </c>
      <c r="M429" t="str">
        <f t="shared" si="58"/>
        <v>Stress</v>
      </c>
      <c r="N429" t="s">
        <v>36</v>
      </c>
      <c r="O429" t="str">
        <f t="shared" si="60"/>
        <v>Control</v>
      </c>
      <c r="P429" t="s">
        <v>210</v>
      </c>
      <c r="Q429" t="s">
        <v>707</v>
      </c>
      <c r="R429" t="s">
        <v>408</v>
      </c>
      <c r="S429" t="s">
        <v>701</v>
      </c>
      <c r="T429" t="s">
        <v>695</v>
      </c>
      <c r="U429" t="s">
        <v>610</v>
      </c>
      <c r="V429" s="1" t="s">
        <v>733</v>
      </c>
      <c r="W429" s="1">
        <f t="shared" si="61"/>
        <v>6.3929313929313886E-11</v>
      </c>
      <c r="X429" s="1"/>
      <c r="Y429" s="1">
        <f>'[62]Ruiz-Lozano_etal_2009_Fig1b'!C6</f>
        <v>3.1964656964656943E-11</v>
      </c>
      <c r="AF429">
        <v>2</v>
      </c>
      <c r="AK429" t="s">
        <v>348</v>
      </c>
    </row>
    <row r="430" spans="1:37" hidden="1" x14ac:dyDescent="0.25">
      <c r="A430" t="s">
        <v>320</v>
      </c>
      <c r="B430" t="s">
        <v>50</v>
      </c>
      <c r="C430" t="s">
        <v>51</v>
      </c>
      <c r="D430" t="s">
        <v>16</v>
      </c>
      <c r="E430" t="s">
        <v>29</v>
      </c>
      <c r="F430" t="s">
        <v>30</v>
      </c>
      <c r="G430" t="s">
        <v>30</v>
      </c>
      <c r="H430" t="s">
        <v>30</v>
      </c>
      <c r="I430" t="s">
        <v>704</v>
      </c>
      <c r="J430">
        <f t="shared" si="59"/>
        <v>54.5</v>
      </c>
      <c r="K430" t="s">
        <v>655</v>
      </c>
      <c r="L430" t="s">
        <v>48</v>
      </c>
      <c r="M430" t="str">
        <f t="shared" si="58"/>
        <v>Stress</v>
      </c>
      <c r="N430" t="s">
        <v>36</v>
      </c>
      <c r="O430" t="str">
        <f t="shared" si="60"/>
        <v>Control</v>
      </c>
      <c r="P430" t="s">
        <v>349</v>
      </c>
      <c r="Q430" t="s">
        <v>707</v>
      </c>
      <c r="R430" t="s">
        <v>408</v>
      </c>
      <c r="S430" t="s">
        <v>701</v>
      </c>
      <c r="T430" t="s">
        <v>695</v>
      </c>
      <c r="U430" t="s">
        <v>610</v>
      </c>
      <c r="V430" s="1" t="s">
        <v>733</v>
      </c>
      <c r="W430" s="1">
        <f t="shared" si="61"/>
        <v>1.9100831600831632E-11</v>
      </c>
      <c r="X430" s="1"/>
      <c r="Y430" s="1">
        <f>'[62]Ruiz-Lozano_etal_2009_Fig1b'!C7</f>
        <v>9.0956340956341097E-12</v>
      </c>
      <c r="AF430">
        <v>2.1</v>
      </c>
      <c r="AK430" t="s">
        <v>348</v>
      </c>
    </row>
    <row r="431" spans="1:37" hidden="1" x14ac:dyDescent="0.25">
      <c r="A431" t="s">
        <v>320</v>
      </c>
      <c r="B431" t="s">
        <v>50</v>
      </c>
      <c r="C431" t="s">
        <v>51</v>
      </c>
      <c r="D431" t="s">
        <v>16</v>
      </c>
      <c r="E431" t="s">
        <v>29</v>
      </c>
      <c r="F431" t="s">
        <v>30</v>
      </c>
      <c r="G431" t="s">
        <v>30</v>
      </c>
      <c r="H431" t="s">
        <v>30</v>
      </c>
      <c r="I431" t="s">
        <v>704</v>
      </c>
      <c r="J431">
        <f t="shared" si="59"/>
        <v>54.5</v>
      </c>
      <c r="K431" t="s">
        <v>655</v>
      </c>
      <c r="L431" t="s">
        <v>48</v>
      </c>
      <c r="M431" t="str">
        <f t="shared" si="58"/>
        <v>Stress</v>
      </c>
      <c r="N431" t="s">
        <v>76</v>
      </c>
      <c r="O431" t="str">
        <f t="shared" si="60"/>
        <v>Stress</v>
      </c>
      <c r="P431" t="s">
        <v>210</v>
      </c>
      <c r="Q431" t="s">
        <v>707</v>
      </c>
      <c r="R431" t="s">
        <v>408</v>
      </c>
      <c r="S431" t="s">
        <v>701</v>
      </c>
      <c r="T431" t="s">
        <v>695</v>
      </c>
      <c r="U431" t="s">
        <v>610</v>
      </c>
      <c r="V431" s="1" t="s">
        <v>733</v>
      </c>
      <c r="W431" s="1">
        <f t="shared" si="61"/>
        <v>3.0171517671517666E-10</v>
      </c>
      <c r="X431" s="1"/>
      <c r="Y431" s="1">
        <f>'[62]Ruiz-Lozano_etal_2009_Fig1b'!C8</f>
        <v>1.0057172557172555E-10</v>
      </c>
      <c r="AF431">
        <v>3</v>
      </c>
      <c r="AK431" t="s">
        <v>348</v>
      </c>
    </row>
    <row r="432" spans="1:37" hidden="1" x14ac:dyDescent="0.25">
      <c r="A432" t="s">
        <v>320</v>
      </c>
      <c r="B432" t="s">
        <v>50</v>
      </c>
      <c r="C432" t="s">
        <v>51</v>
      </c>
      <c r="D432" t="s">
        <v>16</v>
      </c>
      <c r="E432" t="s">
        <v>29</v>
      </c>
      <c r="F432" t="s">
        <v>30</v>
      </c>
      <c r="G432" t="s">
        <v>30</v>
      </c>
      <c r="H432" t="s">
        <v>30</v>
      </c>
      <c r="I432" t="s">
        <v>704</v>
      </c>
      <c r="J432">
        <f t="shared" si="59"/>
        <v>54.5</v>
      </c>
      <c r="K432" t="s">
        <v>655</v>
      </c>
      <c r="L432" t="s">
        <v>48</v>
      </c>
      <c r="M432" t="str">
        <f t="shared" si="58"/>
        <v>Stress</v>
      </c>
      <c r="N432" t="s">
        <v>76</v>
      </c>
      <c r="O432" t="str">
        <f t="shared" si="60"/>
        <v>Stress</v>
      </c>
      <c r="P432" t="s">
        <v>349</v>
      </c>
      <c r="Q432" t="s">
        <v>707</v>
      </c>
      <c r="R432" t="s">
        <v>408</v>
      </c>
      <c r="S432" t="s">
        <v>701</v>
      </c>
      <c r="T432" t="s">
        <v>695</v>
      </c>
      <c r="U432" t="s">
        <v>610</v>
      </c>
      <c r="V432" s="1" t="s">
        <v>733</v>
      </c>
      <c r="W432" s="1">
        <f t="shared" si="61"/>
        <v>1.1177234927234929E-10</v>
      </c>
      <c r="X432" s="1"/>
      <c r="Y432" s="1">
        <f>'[62]Ruiz-Lozano_etal_2009_Fig1b'!C9</f>
        <v>4.8596673596673607E-11</v>
      </c>
      <c r="AF432">
        <v>2.2999999999999998</v>
      </c>
      <c r="AK432" t="s">
        <v>348</v>
      </c>
    </row>
    <row r="433" spans="1:37" hidden="1" x14ac:dyDescent="0.25">
      <c r="A433" t="s">
        <v>378</v>
      </c>
      <c r="B433" t="s">
        <v>50</v>
      </c>
      <c r="C433" t="s">
        <v>51</v>
      </c>
      <c r="D433" t="s">
        <v>16</v>
      </c>
      <c r="E433" t="s">
        <v>29</v>
      </c>
      <c r="F433" t="s">
        <v>30</v>
      </c>
      <c r="G433" t="s">
        <v>30</v>
      </c>
      <c r="H433" t="s">
        <v>30</v>
      </c>
      <c r="I433" t="s">
        <v>704</v>
      </c>
      <c r="J433">
        <f t="shared" ref="J433:J444" si="62">+AVERAGE(3,4)*7</f>
        <v>24.5</v>
      </c>
      <c r="K433" t="s">
        <v>459</v>
      </c>
      <c r="L433" t="s">
        <v>36</v>
      </c>
      <c r="M433" t="str">
        <f t="shared" si="58"/>
        <v>Control</v>
      </c>
      <c r="N433" t="s">
        <v>460</v>
      </c>
      <c r="O433" t="str">
        <f t="shared" si="60"/>
        <v>Stress</v>
      </c>
      <c r="R433" t="s">
        <v>408</v>
      </c>
      <c r="S433" t="s">
        <v>701</v>
      </c>
      <c r="T433" t="s">
        <v>695</v>
      </c>
      <c r="U433" t="s">
        <v>610</v>
      </c>
      <c r="V433" s="1" t="s">
        <v>733</v>
      </c>
      <c r="W433" s="1">
        <f t="shared" ref="W433:W444" si="63">+AB433*AD433/10000</f>
        <v>1.10152284263959E-9</v>
      </c>
      <c r="X433" s="1"/>
      <c r="AB433" s="1">
        <f>[63]Parent_etal_2009_Fig5b!B2</f>
        <v>3.1472081218274E-8</v>
      </c>
      <c r="AD433" s="9">
        <v>350</v>
      </c>
      <c r="AK433" t="s">
        <v>348</v>
      </c>
    </row>
    <row r="434" spans="1:37" hidden="1" x14ac:dyDescent="0.25">
      <c r="A434" t="s">
        <v>378</v>
      </c>
      <c r="B434" t="s">
        <v>50</v>
      </c>
      <c r="C434" t="s">
        <v>51</v>
      </c>
      <c r="D434" t="s">
        <v>16</v>
      </c>
      <c r="E434" t="s">
        <v>29</v>
      </c>
      <c r="F434" t="s">
        <v>30</v>
      </c>
      <c r="G434" t="s">
        <v>30</v>
      </c>
      <c r="H434" t="s">
        <v>30</v>
      </c>
      <c r="I434" t="s">
        <v>704</v>
      </c>
      <c r="J434">
        <f t="shared" si="62"/>
        <v>24.5</v>
      </c>
      <c r="K434" t="s">
        <v>459</v>
      </c>
      <c r="L434" t="s">
        <v>36</v>
      </c>
      <c r="M434" t="str">
        <f t="shared" si="58"/>
        <v>Control</v>
      </c>
      <c r="N434" t="s">
        <v>36</v>
      </c>
      <c r="O434" t="str">
        <f t="shared" si="60"/>
        <v>Control</v>
      </c>
      <c r="R434" t="s">
        <v>408</v>
      </c>
      <c r="S434" t="s">
        <v>701</v>
      </c>
      <c r="T434" t="s">
        <v>695</v>
      </c>
      <c r="U434" t="s">
        <v>610</v>
      </c>
      <c r="V434" s="1" t="s">
        <v>733</v>
      </c>
      <c r="W434" s="1">
        <f t="shared" si="63"/>
        <v>2.0964467005076109E-9</v>
      </c>
      <c r="X434" s="1"/>
      <c r="AB434" s="1">
        <f>[63]Parent_etal_2009_Fig5b!B3</f>
        <v>5.9898477157360307E-8</v>
      </c>
      <c r="AD434" s="9">
        <v>350</v>
      </c>
      <c r="AK434" t="s">
        <v>348</v>
      </c>
    </row>
    <row r="435" spans="1:37" hidden="1" x14ac:dyDescent="0.25">
      <c r="A435" t="s">
        <v>378</v>
      </c>
      <c r="B435" t="s">
        <v>50</v>
      </c>
      <c r="C435" t="s">
        <v>51</v>
      </c>
      <c r="D435" t="s">
        <v>16</v>
      </c>
      <c r="E435" t="s">
        <v>29</v>
      </c>
      <c r="F435" t="s">
        <v>30</v>
      </c>
      <c r="G435" t="s">
        <v>30</v>
      </c>
      <c r="H435" t="s">
        <v>30</v>
      </c>
      <c r="I435" t="s">
        <v>704</v>
      </c>
      <c r="J435">
        <f t="shared" si="62"/>
        <v>24.5</v>
      </c>
      <c r="K435" t="s">
        <v>459</v>
      </c>
      <c r="L435" t="s">
        <v>36</v>
      </c>
      <c r="M435" t="str">
        <f t="shared" si="58"/>
        <v>Control</v>
      </c>
      <c r="N435" t="s">
        <v>461</v>
      </c>
      <c r="O435" t="str">
        <f t="shared" si="60"/>
        <v>Stress</v>
      </c>
      <c r="R435" t="s">
        <v>408</v>
      </c>
      <c r="S435" t="s">
        <v>701</v>
      </c>
      <c r="T435" t="s">
        <v>695</v>
      </c>
      <c r="U435" t="s">
        <v>610</v>
      </c>
      <c r="V435" s="1" t="s">
        <v>733</v>
      </c>
      <c r="W435" s="1">
        <f t="shared" si="63"/>
        <v>3.7309644670050747E-9</v>
      </c>
      <c r="X435" s="1"/>
      <c r="AB435" s="1">
        <f>[63]Parent_etal_2009_Fig5b!B4</f>
        <v>2.4873096446700498E-7</v>
      </c>
      <c r="AD435" s="9">
        <v>150</v>
      </c>
      <c r="AK435" t="s">
        <v>348</v>
      </c>
    </row>
    <row r="436" spans="1:37" hidden="1" x14ac:dyDescent="0.25">
      <c r="A436" t="s">
        <v>378</v>
      </c>
      <c r="B436" t="s">
        <v>50</v>
      </c>
      <c r="C436" t="s">
        <v>51</v>
      </c>
      <c r="D436" t="s">
        <v>16</v>
      </c>
      <c r="E436" t="s">
        <v>29</v>
      </c>
      <c r="F436" t="s">
        <v>30</v>
      </c>
      <c r="G436" t="s">
        <v>30</v>
      </c>
      <c r="H436" t="s">
        <v>30</v>
      </c>
      <c r="I436" t="s">
        <v>704</v>
      </c>
      <c r="J436">
        <f t="shared" si="62"/>
        <v>24.5</v>
      </c>
      <c r="K436" t="s">
        <v>459</v>
      </c>
      <c r="L436" t="s">
        <v>703</v>
      </c>
      <c r="M436" t="str">
        <f t="shared" si="58"/>
        <v>Stress</v>
      </c>
      <c r="N436" t="s">
        <v>460</v>
      </c>
      <c r="O436" t="str">
        <f t="shared" si="60"/>
        <v>Stress</v>
      </c>
      <c r="R436" t="s">
        <v>408</v>
      </c>
      <c r="S436" t="s">
        <v>701</v>
      </c>
      <c r="T436" t="s">
        <v>695</v>
      </c>
      <c r="U436" t="s">
        <v>610</v>
      </c>
      <c r="V436" s="1" t="s">
        <v>733</v>
      </c>
      <c r="W436" s="1">
        <f t="shared" si="63"/>
        <v>4.2639593908629552E-10</v>
      </c>
      <c r="X436" s="1"/>
      <c r="AB436" s="1">
        <f>[63]Parent_etal_2009_Fig5b!B5</f>
        <v>1.21827411167513E-8</v>
      </c>
      <c r="AD436" s="9">
        <v>350</v>
      </c>
      <c r="AK436" t="s">
        <v>348</v>
      </c>
    </row>
    <row r="437" spans="1:37" hidden="1" x14ac:dyDescent="0.25">
      <c r="A437" t="s">
        <v>378</v>
      </c>
      <c r="B437" t="s">
        <v>50</v>
      </c>
      <c r="C437" t="s">
        <v>51</v>
      </c>
      <c r="D437" t="s">
        <v>16</v>
      </c>
      <c r="E437" t="s">
        <v>29</v>
      </c>
      <c r="F437" t="s">
        <v>30</v>
      </c>
      <c r="G437" t="s">
        <v>30</v>
      </c>
      <c r="H437" t="s">
        <v>30</v>
      </c>
      <c r="I437" t="s">
        <v>704</v>
      </c>
      <c r="J437">
        <f t="shared" si="62"/>
        <v>24.5</v>
      </c>
      <c r="K437" t="s">
        <v>459</v>
      </c>
      <c r="L437" t="s">
        <v>703</v>
      </c>
      <c r="M437" t="str">
        <f t="shared" si="58"/>
        <v>Stress</v>
      </c>
      <c r="N437" t="s">
        <v>36</v>
      </c>
      <c r="O437" t="str">
        <f t="shared" si="60"/>
        <v>Control</v>
      </c>
      <c r="R437" t="s">
        <v>408</v>
      </c>
      <c r="S437" t="s">
        <v>701</v>
      </c>
      <c r="T437" t="s">
        <v>695</v>
      </c>
      <c r="U437" t="s">
        <v>610</v>
      </c>
      <c r="V437" s="1" t="s">
        <v>733</v>
      </c>
      <c r="W437" s="1">
        <f t="shared" si="63"/>
        <v>5.6852791878172843E-10</v>
      </c>
      <c r="X437" s="1"/>
      <c r="AB437" s="1">
        <f>[63]Parent_etal_2009_Fig5b!B6</f>
        <v>1.62436548223351E-8</v>
      </c>
      <c r="AD437" s="9">
        <v>350</v>
      </c>
      <c r="AK437" t="s">
        <v>348</v>
      </c>
    </row>
    <row r="438" spans="1:37" hidden="1" x14ac:dyDescent="0.25">
      <c r="A438" t="s">
        <v>378</v>
      </c>
      <c r="B438" t="s">
        <v>50</v>
      </c>
      <c r="C438" t="s">
        <v>51</v>
      </c>
      <c r="D438" t="s">
        <v>16</v>
      </c>
      <c r="E438" t="s">
        <v>29</v>
      </c>
      <c r="F438" t="s">
        <v>30</v>
      </c>
      <c r="G438" t="s">
        <v>30</v>
      </c>
      <c r="H438" t="s">
        <v>30</v>
      </c>
      <c r="I438" t="s">
        <v>704</v>
      </c>
      <c r="J438">
        <f t="shared" si="62"/>
        <v>24.5</v>
      </c>
      <c r="K438" t="s">
        <v>459</v>
      </c>
      <c r="L438" t="s">
        <v>703</v>
      </c>
      <c r="M438" t="str">
        <f t="shared" si="58"/>
        <v>Stress</v>
      </c>
      <c r="N438" t="s">
        <v>461</v>
      </c>
      <c r="O438" t="str">
        <f t="shared" si="60"/>
        <v>Stress</v>
      </c>
      <c r="R438" t="s">
        <v>408</v>
      </c>
      <c r="S438" t="s">
        <v>701</v>
      </c>
      <c r="T438" t="s">
        <v>695</v>
      </c>
      <c r="U438" t="s">
        <v>610</v>
      </c>
      <c r="V438" s="1" t="s">
        <v>733</v>
      </c>
      <c r="W438" s="1">
        <f t="shared" si="63"/>
        <v>7.1573604060913352E-10</v>
      </c>
      <c r="X438" s="1"/>
      <c r="AB438" s="1">
        <f>[63]Parent_etal_2009_Fig5b!B7</f>
        <v>4.7715736040608901E-8</v>
      </c>
      <c r="AD438" s="9">
        <v>150</v>
      </c>
      <c r="AK438" t="s">
        <v>348</v>
      </c>
    </row>
    <row r="439" spans="1:37" hidden="1" x14ac:dyDescent="0.25">
      <c r="A439" t="s">
        <v>378</v>
      </c>
      <c r="B439" t="s">
        <v>50</v>
      </c>
      <c r="C439" t="s">
        <v>51</v>
      </c>
      <c r="D439" t="s">
        <v>16</v>
      </c>
      <c r="E439" t="s">
        <v>29</v>
      </c>
      <c r="F439" t="s">
        <v>30</v>
      </c>
      <c r="G439" t="s">
        <v>30</v>
      </c>
      <c r="H439" t="s">
        <v>30</v>
      </c>
      <c r="I439" t="s">
        <v>704</v>
      </c>
      <c r="J439">
        <f t="shared" si="62"/>
        <v>24.5</v>
      </c>
      <c r="K439" t="s">
        <v>459</v>
      </c>
      <c r="L439" t="s">
        <v>36</v>
      </c>
      <c r="M439" t="str">
        <f t="shared" si="58"/>
        <v>Control</v>
      </c>
      <c r="N439" t="s">
        <v>460</v>
      </c>
      <c r="O439" t="str">
        <f t="shared" si="60"/>
        <v>Stress</v>
      </c>
      <c r="R439" t="s">
        <v>408</v>
      </c>
      <c r="S439" t="s">
        <v>701</v>
      </c>
      <c r="T439" t="s">
        <v>695</v>
      </c>
      <c r="U439" t="s">
        <v>609</v>
      </c>
      <c r="V439" s="1" t="s">
        <v>733</v>
      </c>
      <c r="W439" s="1">
        <f t="shared" si="63"/>
        <v>1.4735000000000001E-9</v>
      </c>
      <c r="X439" s="1"/>
      <c r="AB439" s="1">
        <f>[64]Parent_etal_2009_Fig5c!B2</f>
        <v>4.21E-8</v>
      </c>
      <c r="AD439" s="9">
        <v>350</v>
      </c>
      <c r="AK439" t="s">
        <v>355</v>
      </c>
    </row>
    <row r="440" spans="1:37" hidden="1" x14ac:dyDescent="0.25">
      <c r="A440" t="s">
        <v>378</v>
      </c>
      <c r="B440" t="s">
        <v>50</v>
      </c>
      <c r="C440" t="s">
        <v>51</v>
      </c>
      <c r="D440" t="s">
        <v>16</v>
      </c>
      <c r="E440" t="s">
        <v>29</v>
      </c>
      <c r="F440" t="s">
        <v>30</v>
      </c>
      <c r="G440" t="s">
        <v>30</v>
      </c>
      <c r="H440" t="s">
        <v>30</v>
      </c>
      <c r="I440" t="s">
        <v>704</v>
      </c>
      <c r="J440">
        <f t="shared" si="62"/>
        <v>24.5</v>
      </c>
      <c r="K440" t="s">
        <v>459</v>
      </c>
      <c r="L440" t="s">
        <v>36</v>
      </c>
      <c r="M440" t="str">
        <f t="shared" si="58"/>
        <v>Control</v>
      </c>
      <c r="N440" t="s">
        <v>36</v>
      </c>
      <c r="O440" t="str">
        <f t="shared" si="60"/>
        <v>Control</v>
      </c>
      <c r="R440" t="s">
        <v>408</v>
      </c>
      <c r="S440" t="s">
        <v>701</v>
      </c>
      <c r="T440" t="s">
        <v>695</v>
      </c>
      <c r="U440" t="s">
        <v>609</v>
      </c>
      <c r="V440" s="1" t="s">
        <v>733</v>
      </c>
      <c r="W440" s="1">
        <f t="shared" si="63"/>
        <v>3.3985000000000002E-9</v>
      </c>
      <c r="X440" s="1"/>
      <c r="AB440" s="1">
        <f>[64]Parent_etal_2009_Fig5c!B3</f>
        <v>9.7100000000000003E-8</v>
      </c>
      <c r="AD440" s="9">
        <v>350</v>
      </c>
      <c r="AK440" t="s">
        <v>355</v>
      </c>
    </row>
    <row r="441" spans="1:37" hidden="1" x14ac:dyDescent="0.25">
      <c r="A441" t="s">
        <v>378</v>
      </c>
      <c r="B441" t="s">
        <v>50</v>
      </c>
      <c r="C441" t="s">
        <v>51</v>
      </c>
      <c r="D441" t="s">
        <v>16</v>
      </c>
      <c r="E441" t="s">
        <v>29</v>
      </c>
      <c r="F441" t="s">
        <v>30</v>
      </c>
      <c r="G441" t="s">
        <v>30</v>
      </c>
      <c r="H441" t="s">
        <v>30</v>
      </c>
      <c r="I441" t="s">
        <v>704</v>
      </c>
      <c r="J441">
        <f t="shared" si="62"/>
        <v>24.5</v>
      </c>
      <c r="K441" t="s">
        <v>459</v>
      </c>
      <c r="L441" t="s">
        <v>36</v>
      </c>
      <c r="M441" t="str">
        <f t="shared" si="58"/>
        <v>Control</v>
      </c>
      <c r="N441" t="s">
        <v>461</v>
      </c>
      <c r="O441" t="str">
        <f t="shared" si="60"/>
        <v>Stress</v>
      </c>
      <c r="R441" t="s">
        <v>408</v>
      </c>
      <c r="S441" t="s">
        <v>701</v>
      </c>
      <c r="T441" t="s">
        <v>695</v>
      </c>
      <c r="U441" t="s">
        <v>609</v>
      </c>
      <c r="V441" s="1" t="s">
        <v>733</v>
      </c>
      <c r="W441" s="1">
        <f t="shared" si="63"/>
        <v>4.3800000000000002E-9</v>
      </c>
      <c r="X441" s="1"/>
      <c r="AB441" s="1">
        <f>[64]Parent_etal_2009_Fig5c!B4</f>
        <v>2.9200000000000002E-7</v>
      </c>
      <c r="AD441" s="9">
        <v>150</v>
      </c>
      <c r="AK441" t="s">
        <v>355</v>
      </c>
    </row>
    <row r="442" spans="1:37" hidden="1" x14ac:dyDescent="0.25">
      <c r="A442" t="s">
        <v>378</v>
      </c>
      <c r="B442" t="s">
        <v>50</v>
      </c>
      <c r="C442" t="s">
        <v>51</v>
      </c>
      <c r="D442" t="s">
        <v>16</v>
      </c>
      <c r="E442" t="s">
        <v>29</v>
      </c>
      <c r="F442" t="s">
        <v>30</v>
      </c>
      <c r="G442" t="s">
        <v>30</v>
      </c>
      <c r="H442" t="s">
        <v>30</v>
      </c>
      <c r="I442" t="s">
        <v>704</v>
      </c>
      <c r="J442">
        <f t="shared" si="62"/>
        <v>24.5</v>
      </c>
      <c r="K442" t="s">
        <v>459</v>
      </c>
      <c r="L442" t="s">
        <v>703</v>
      </c>
      <c r="M442" t="str">
        <f t="shared" si="58"/>
        <v>Stress</v>
      </c>
      <c r="N442" t="s">
        <v>460</v>
      </c>
      <c r="O442" t="str">
        <f t="shared" si="60"/>
        <v>Stress</v>
      </c>
      <c r="R442" t="s">
        <v>408</v>
      </c>
      <c r="S442" t="s">
        <v>701</v>
      </c>
      <c r="T442" t="s">
        <v>695</v>
      </c>
      <c r="U442" t="s">
        <v>609</v>
      </c>
      <c r="V442" s="1" t="s">
        <v>733</v>
      </c>
      <c r="W442" s="1">
        <f t="shared" si="63"/>
        <v>4.7336065573770751E-10</v>
      </c>
      <c r="X442" s="1"/>
      <c r="AB442" s="1">
        <f>[64]Parent_etal_2009_Fig5c!B5</f>
        <v>1.3524590163934501E-8</v>
      </c>
      <c r="AD442" s="9">
        <v>350</v>
      </c>
      <c r="AK442" t="s">
        <v>355</v>
      </c>
    </row>
    <row r="443" spans="1:37" hidden="1" x14ac:dyDescent="0.25">
      <c r="A443" t="s">
        <v>378</v>
      </c>
      <c r="B443" t="s">
        <v>50</v>
      </c>
      <c r="C443" t="s">
        <v>51</v>
      </c>
      <c r="D443" t="s">
        <v>16</v>
      </c>
      <c r="E443" t="s">
        <v>29</v>
      </c>
      <c r="F443" t="s">
        <v>30</v>
      </c>
      <c r="G443" t="s">
        <v>30</v>
      </c>
      <c r="H443" t="s">
        <v>30</v>
      </c>
      <c r="I443" t="s">
        <v>704</v>
      </c>
      <c r="J443">
        <f t="shared" si="62"/>
        <v>24.5</v>
      </c>
      <c r="K443" t="s">
        <v>459</v>
      </c>
      <c r="L443" t="s">
        <v>703</v>
      </c>
      <c r="M443" t="str">
        <f t="shared" si="58"/>
        <v>Stress</v>
      </c>
      <c r="N443" t="s">
        <v>36</v>
      </c>
      <c r="O443" t="str">
        <f t="shared" si="60"/>
        <v>Control</v>
      </c>
      <c r="R443" t="s">
        <v>408</v>
      </c>
      <c r="S443" t="s">
        <v>701</v>
      </c>
      <c r="T443" t="s">
        <v>695</v>
      </c>
      <c r="U443" t="s">
        <v>609</v>
      </c>
      <c r="V443" s="1" t="s">
        <v>733</v>
      </c>
      <c r="W443" s="1">
        <f t="shared" si="63"/>
        <v>9.0368852459015895E-10</v>
      </c>
      <c r="X443" s="1"/>
      <c r="AB443" s="1">
        <f>[64]Parent_etal_2009_Fig5c!B6</f>
        <v>2.5819672131147399E-8</v>
      </c>
      <c r="AD443" s="9">
        <v>350</v>
      </c>
      <c r="AK443" t="s">
        <v>355</v>
      </c>
    </row>
    <row r="444" spans="1:37" hidden="1" x14ac:dyDescent="0.25">
      <c r="A444" t="s">
        <v>378</v>
      </c>
      <c r="B444" t="s">
        <v>50</v>
      </c>
      <c r="C444" t="s">
        <v>51</v>
      </c>
      <c r="D444" t="s">
        <v>16</v>
      </c>
      <c r="E444" t="s">
        <v>29</v>
      </c>
      <c r="F444" t="s">
        <v>30</v>
      </c>
      <c r="G444" t="s">
        <v>30</v>
      </c>
      <c r="H444" t="s">
        <v>30</v>
      </c>
      <c r="I444" t="s">
        <v>704</v>
      </c>
      <c r="J444">
        <f t="shared" si="62"/>
        <v>24.5</v>
      </c>
      <c r="K444" t="s">
        <v>459</v>
      </c>
      <c r="L444" t="s">
        <v>703</v>
      </c>
      <c r="M444" t="str">
        <f t="shared" si="58"/>
        <v>Stress</v>
      </c>
      <c r="N444" t="s">
        <v>461</v>
      </c>
      <c r="O444" t="str">
        <f t="shared" si="60"/>
        <v>Stress</v>
      </c>
      <c r="R444" t="s">
        <v>408</v>
      </c>
      <c r="S444" t="s">
        <v>701</v>
      </c>
      <c r="T444" t="s">
        <v>695</v>
      </c>
      <c r="U444" t="s">
        <v>609</v>
      </c>
      <c r="V444" s="1" t="s">
        <v>733</v>
      </c>
      <c r="W444" s="1">
        <f t="shared" si="63"/>
        <v>1.4569672131147525E-9</v>
      </c>
      <c r="X444" s="1"/>
      <c r="AB444" s="1">
        <f>[64]Parent_etal_2009_Fig5c!B7</f>
        <v>9.7131147540983494E-8</v>
      </c>
      <c r="AD444" s="9">
        <v>150</v>
      </c>
      <c r="AK444" t="s">
        <v>355</v>
      </c>
    </row>
    <row r="445" spans="1:37" hidden="1" x14ac:dyDescent="0.25">
      <c r="A445" t="s">
        <v>82</v>
      </c>
      <c r="B445" t="s">
        <v>83</v>
      </c>
      <c r="C445" t="s">
        <v>84</v>
      </c>
      <c r="D445" t="s">
        <v>16</v>
      </c>
      <c r="E445" t="s">
        <v>17</v>
      </c>
      <c r="F445" t="s">
        <v>18</v>
      </c>
      <c r="G445" t="s">
        <v>18</v>
      </c>
      <c r="H445" t="s">
        <v>18</v>
      </c>
      <c r="I445" t="s">
        <v>704</v>
      </c>
      <c r="J445">
        <v>50</v>
      </c>
      <c r="K445" t="s">
        <v>81</v>
      </c>
      <c r="L445" t="s">
        <v>36</v>
      </c>
      <c r="M445" t="str">
        <f t="shared" si="58"/>
        <v>Control</v>
      </c>
      <c r="R445" t="s">
        <v>408</v>
      </c>
      <c r="S445" t="s">
        <v>701</v>
      </c>
      <c r="T445" t="s">
        <v>695</v>
      </c>
      <c r="U445" t="s">
        <v>609</v>
      </c>
      <c r="V445" s="1" t="s">
        <v>733</v>
      </c>
      <c r="W445" s="1">
        <f t="shared" ref="W445:W448" si="64">+X445*AG445</f>
        <v>4.2917509525000002E-10</v>
      </c>
      <c r="X445" s="1">
        <f>0.00000250723/3600</f>
        <v>6.9645277777777772E-10</v>
      </c>
      <c r="Y445" s="1"/>
      <c r="Z445" s="1"/>
      <c r="AA445" s="1"/>
      <c r="AF445" s="2">
        <v>8.838E-2</v>
      </c>
      <c r="AG445" s="2">
        <v>0.61623000000000006</v>
      </c>
      <c r="AK445" t="s">
        <v>199</v>
      </c>
    </row>
    <row r="446" spans="1:37" hidden="1" x14ac:dyDescent="0.25">
      <c r="A446" t="s">
        <v>82</v>
      </c>
      <c r="B446" t="s">
        <v>83</v>
      </c>
      <c r="C446" t="s">
        <v>84</v>
      </c>
      <c r="D446" t="s">
        <v>16</v>
      </c>
      <c r="E446" t="s">
        <v>17</v>
      </c>
      <c r="F446" t="s">
        <v>18</v>
      </c>
      <c r="G446" t="s">
        <v>18</v>
      </c>
      <c r="H446" t="s">
        <v>18</v>
      </c>
      <c r="I446" t="s">
        <v>704</v>
      </c>
      <c r="J446">
        <v>50</v>
      </c>
      <c r="K446" t="s">
        <v>81</v>
      </c>
      <c r="L446" t="s">
        <v>551</v>
      </c>
      <c r="M446" t="str">
        <f t="shared" si="58"/>
        <v>Stress</v>
      </c>
      <c r="R446" t="s">
        <v>408</v>
      </c>
      <c r="S446" t="s">
        <v>701</v>
      </c>
      <c r="T446" t="s">
        <v>695</v>
      </c>
      <c r="U446" t="s">
        <v>609</v>
      </c>
      <c r="V446" s="1" t="s">
        <v>733</v>
      </c>
      <c r="W446" s="1">
        <f t="shared" si="64"/>
        <v>2.8112851107499996E-10</v>
      </c>
      <c r="X446" s="1">
        <f>0.000001891317/3600</f>
        <v>5.253658333333333E-10</v>
      </c>
      <c r="Y446" s="1"/>
      <c r="Z446" s="1"/>
      <c r="AA446" s="1"/>
      <c r="AF446" s="2">
        <v>7.5429999999999997E-2</v>
      </c>
      <c r="AG446" s="2">
        <v>0.53510999999999997</v>
      </c>
      <c r="AK446" t="s">
        <v>199</v>
      </c>
    </row>
    <row r="447" spans="1:37" hidden="1" x14ac:dyDescent="0.25">
      <c r="A447" t="s">
        <v>82</v>
      </c>
      <c r="B447" t="s">
        <v>83</v>
      </c>
      <c r="C447" t="s">
        <v>84</v>
      </c>
      <c r="D447" t="s">
        <v>16</v>
      </c>
      <c r="E447" t="s">
        <v>17</v>
      </c>
      <c r="F447" t="s">
        <v>18</v>
      </c>
      <c r="G447" t="s">
        <v>18</v>
      </c>
      <c r="H447" t="s">
        <v>18</v>
      </c>
      <c r="I447" t="s">
        <v>704</v>
      </c>
      <c r="J447">
        <v>50</v>
      </c>
      <c r="K447" t="s">
        <v>81</v>
      </c>
      <c r="L447" t="s">
        <v>552</v>
      </c>
      <c r="M447" t="str">
        <f t="shared" si="58"/>
        <v>Stress</v>
      </c>
      <c r="R447" t="s">
        <v>408</v>
      </c>
      <c r="S447" t="s">
        <v>701</v>
      </c>
      <c r="T447" t="s">
        <v>695</v>
      </c>
      <c r="U447" t="s">
        <v>609</v>
      </c>
      <c r="V447" s="1" t="s">
        <v>733</v>
      </c>
      <c r="W447" s="1">
        <f t="shared" si="64"/>
        <v>6.7328233194444438E-11</v>
      </c>
      <c r="X447" s="1">
        <f>0.00000057035/3600</f>
        <v>1.5843055555555555E-10</v>
      </c>
      <c r="Y447" s="1"/>
      <c r="Z447" s="1"/>
      <c r="AA447" s="1"/>
      <c r="AF447" s="2">
        <v>6.9550000000000001E-2</v>
      </c>
      <c r="AG447" s="2">
        <v>0.42497000000000001</v>
      </c>
      <c r="AK447" t="s">
        <v>199</v>
      </c>
    </row>
    <row r="448" spans="1:37" hidden="1" x14ac:dyDescent="0.25">
      <c r="A448" t="s">
        <v>82</v>
      </c>
      <c r="B448" t="s">
        <v>83</v>
      </c>
      <c r="C448" t="s">
        <v>84</v>
      </c>
      <c r="D448" t="s">
        <v>16</v>
      </c>
      <c r="E448" t="s">
        <v>17</v>
      </c>
      <c r="F448" t="s">
        <v>18</v>
      </c>
      <c r="G448" t="s">
        <v>18</v>
      </c>
      <c r="H448" t="s">
        <v>18</v>
      </c>
      <c r="I448" t="s">
        <v>704</v>
      </c>
      <c r="J448">
        <v>50</v>
      </c>
      <c r="K448" t="s">
        <v>81</v>
      </c>
      <c r="L448" t="s">
        <v>553</v>
      </c>
      <c r="M448" t="str">
        <f t="shared" si="58"/>
        <v>Stress</v>
      </c>
      <c r="R448" t="s">
        <v>408</v>
      </c>
      <c r="S448" t="s">
        <v>701</v>
      </c>
      <c r="T448" t="s">
        <v>695</v>
      </c>
      <c r="U448" t="s">
        <v>609</v>
      </c>
      <c r="V448" s="1" t="s">
        <v>733</v>
      </c>
      <c r="W448" s="1">
        <f t="shared" si="64"/>
        <v>5.0486268999999997E-11</v>
      </c>
      <c r="X448" s="1">
        <f>0.00000051022/3600</f>
        <v>1.4172777777777778E-10</v>
      </c>
      <c r="Y448" s="1"/>
      <c r="Z448" s="1"/>
      <c r="AA448" s="1"/>
      <c r="AF448" s="2">
        <v>6.3460000000000003E-2</v>
      </c>
      <c r="AG448" s="2">
        <v>0.35621999999999998</v>
      </c>
      <c r="AK448" t="s">
        <v>199</v>
      </c>
    </row>
    <row r="449" spans="1:37" hidden="1" x14ac:dyDescent="0.25">
      <c r="A449" t="s">
        <v>85</v>
      </c>
      <c r="B449" t="s">
        <v>53</v>
      </c>
      <c r="C449" t="s">
        <v>54</v>
      </c>
      <c r="D449" t="s">
        <v>16</v>
      </c>
      <c r="E449" t="s">
        <v>17</v>
      </c>
      <c r="F449" t="s">
        <v>18</v>
      </c>
      <c r="G449" t="s">
        <v>18</v>
      </c>
      <c r="H449" t="s">
        <v>18</v>
      </c>
      <c r="I449" t="s">
        <v>704</v>
      </c>
      <c r="J449">
        <v>74</v>
      </c>
      <c r="K449" t="s">
        <v>656</v>
      </c>
      <c r="L449" t="s">
        <v>36</v>
      </c>
      <c r="M449" t="str">
        <f t="shared" si="58"/>
        <v>Control</v>
      </c>
      <c r="N449" t="s">
        <v>462</v>
      </c>
      <c r="O449" t="s">
        <v>707</v>
      </c>
      <c r="P449" t="s">
        <v>449</v>
      </c>
      <c r="Q449" t="s">
        <v>707</v>
      </c>
      <c r="R449" t="s">
        <v>408</v>
      </c>
      <c r="S449" t="s">
        <v>701</v>
      </c>
      <c r="T449" t="s">
        <v>695</v>
      </c>
      <c r="U449" t="s">
        <v>609</v>
      </c>
      <c r="V449" s="1"/>
      <c r="W449" s="1"/>
      <c r="X449" s="1">
        <v>2.6400000000000002E-10</v>
      </c>
      <c r="Y449" s="1"/>
      <c r="Z449" s="1"/>
      <c r="AA449" s="1"/>
      <c r="AF449" s="2">
        <v>0.65</v>
      </c>
      <c r="AK449" t="s">
        <v>199</v>
      </c>
    </row>
    <row r="450" spans="1:37" hidden="1" x14ac:dyDescent="0.25">
      <c r="A450" t="s">
        <v>85</v>
      </c>
      <c r="B450" t="s">
        <v>53</v>
      </c>
      <c r="C450" t="s">
        <v>54</v>
      </c>
      <c r="D450" t="s">
        <v>16</v>
      </c>
      <c r="E450" t="s">
        <v>17</v>
      </c>
      <c r="F450" t="s">
        <v>18</v>
      </c>
      <c r="G450" t="s">
        <v>18</v>
      </c>
      <c r="H450" t="s">
        <v>18</v>
      </c>
      <c r="I450" t="s">
        <v>704</v>
      </c>
      <c r="J450">
        <v>74</v>
      </c>
      <c r="K450" t="s">
        <v>656</v>
      </c>
      <c r="L450" t="s">
        <v>36</v>
      </c>
      <c r="M450" t="str">
        <f t="shared" si="58"/>
        <v>Control</v>
      </c>
      <c r="N450" t="s">
        <v>462</v>
      </c>
      <c r="O450" t="s">
        <v>707</v>
      </c>
      <c r="P450" t="s">
        <v>450</v>
      </c>
      <c r="Q450" t="s">
        <v>707</v>
      </c>
      <c r="R450" t="s">
        <v>408</v>
      </c>
      <c r="S450" t="s">
        <v>701</v>
      </c>
      <c r="T450" t="s">
        <v>695</v>
      </c>
      <c r="U450" t="s">
        <v>609</v>
      </c>
      <c r="V450" s="1"/>
      <c r="W450" s="1"/>
      <c r="X450" s="1">
        <v>2.11E-10</v>
      </c>
      <c r="Y450" s="1"/>
      <c r="Z450" s="1"/>
      <c r="AA450" s="1"/>
      <c r="AF450" s="2">
        <v>0.85</v>
      </c>
      <c r="AK450" t="s">
        <v>199</v>
      </c>
    </row>
    <row r="451" spans="1:37" hidden="1" x14ac:dyDescent="0.25">
      <c r="A451" t="s">
        <v>85</v>
      </c>
      <c r="B451" t="s">
        <v>53</v>
      </c>
      <c r="C451" t="s">
        <v>54</v>
      </c>
      <c r="D451" t="s">
        <v>16</v>
      </c>
      <c r="E451" t="s">
        <v>17</v>
      </c>
      <c r="F451" t="s">
        <v>18</v>
      </c>
      <c r="G451" t="s">
        <v>18</v>
      </c>
      <c r="H451" t="s">
        <v>18</v>
      </c>
      <c r="I451" t="s">
        <v>704</v>
      </c>
      <c r="J451">
        <v>74</v>
      </c>
      <c r="K451" t="s">
        <v>656</v>
      </c>
      <c r="L451" t="s">
        <v>36</v>
      </c>
      <c r="M451" t="str">
        <f t="shared" si="58"/>
        <v>Control</v>
      </c>
      <c r="N451" t="s">
        <v>462</v>
      </c>
      <c r="O451" t="s">
        <v>707</v>
      </c>
      <c r="P451" t="s">
        <v>451</v>
      </c>
      <c r="Q451" t="s">
        <v>707</v>
      </c>
      <c r="R451" t="s">
        <v>408</v>
      </c>
      <c r="S451" t="s">
        <v>701</v>
      </c>
      <c r="T451" t="s">
        <v>695</v>
      </c>
      <c r="U451" t="s">
        <v>609</v>
      </c>
      <c r="V451" s="1"/>
      <c r="W451" s="1"/>
      <c r="X451" s="1">
        <v>4.4400000000000002E-10</v>
      </c>
      <c r="Y451" s="1"/>
      <c r="Z451" s="1"/>
      <c r="AA451" s="1"/>
      <c r="AF451" s="2">
        <v>0.4</v>
      </c>
      <c r="AK451" t="s">
        <v>199</v>
      </c>
    </row>
    <row r="452" spans="1:37" hidden="1" x14ac:dyDescent="0.25">
      <c r="A452" t="s">
        <v>85</v>
      </c>
      <c r="B452" t="s">
        <v>53</v>
      </c>
      <c r="C452" t="s">
        <v>54</v>
      </c>
      <c r="D452" t="s">
        <v>16</v>
      </c>
      <c r="E452" t="s">
        <v>17</v>
      </c>
      <c r="F452" t="s">
        <v>18</v>
      </c>
      <c r="G452" t="s">
        <v>18</v>
      </c>
      <c r="H452" t="s">
        <v>18</v>
      </c>
      <c r="I452" t="s">
        <v>704</v>
      </c>
      <c r="J452">
        <v>89</v>
      </c>
      <c r="K452" t="s">
        <v>656</v>
      </c>
      <c r="L452" t="s">
        <v>36</v>
      </c>
      <c r="M452" t="str">
        <f t="shared" si="58"/>
        <v>Control</v>
      </c>
      <c r="N452" t="s">
        <v>463</v>
      </c>
      <c r="O452" t="s">
        <v>707</v>
      </c>
      <c r="P452" t="s">
        <v>449</v>
      </c>
      <c r="Q452" t="s">
        <v>707</v>
      </c>
      <c r="R452" t="s">
        <v>408</v>
      </c>
      <c r="S452" t="s">
        <v>701</v>
      </c>
      <c r="T452" t="s">
        <v>695</v>
      </c>
      <c r="U452" t="s">
        <v>609</v>
      </c>
      <c r="V452" s="1"/>
      <c r="W452" s="1"/>
      <c r="X452" s="1">
        <v>2.2800000000000001E-11</v>
      </c>
      <c r="Y452" s="1"/>
      <c r="Z452" s="1"/>
      <c r="AA452" s="1"/>
      <c r="AF452" s="2">
        <v>2.62</v>
      </c>
      <c r="AK452" t="s">
        <v>199</v>
      </c>
    </row>
    <row r="453" spans="1:37" hidden="1" x14ac:dyDescent="0.25">
      <c r="A453" t="s">
        <v>85</v>
      </c>
      <c r="B453" t="s">
        <v>53</v>
      </c>
      <c r="C453" t="s">
        <v>54</v>
      </c>
      <c r="D453" t="s">
        <v>16</v>
      </c>
      <c r="E453" t="s">
        <v>17</v>
      </c>
      <c r="F453" t="s">
        <v>18</v>
      </c>
      <c r="G453" t="s">
        <v>18</v>
      </c>
      <c r="H453" t="s">
        <v>18</v>
      </c>
      <c r="I453" t="s">
        <v>704</v>
      </c>
      <c r="J453">
        <v>89</v>
      </c>
      <c r="K453" t="s">
        <v>656</v>
      </c>
      <c r="L453" t="s">
        <v>36</v>
      </c>
      <c r="M453" t="str">
        <f t="shared" si="58"/>
        <v>Control</v>
      </c>
      <c r="N453" t="s">
        <v>463</v>
      </c>
      <c r="O453" t="s">
        <v>707</v>
      </c>
      <c r="P453" t="s">
        <v>450</v>
      </c>
      <c r="Q453" t="s">
        <v>707</v>
      </c>
      <c r="R453" t="s">
        <v>408</v>
      </c>
      <c r="S453" t="s">
        <v>701</v>
      </c>
      <c r="T453" t="s">
        <v>695</v>
      </c>
      <c r="U453" t="s">
        <v>609</v>
      </c>
      <c r="V453" s="1"/>
      <c r="W453" s="1"/>
      <c r="X453" s="1">
        <v>1.7799999999999999E-11</v>
      </c>
      <c r="Y453" s="1"/>
      <c r="Z453" s="1"/>
      <c r="AA453" s="1"/>
      <c r="AF453" s="2">
        <v>3.45</v>
      </c>
      <c r="AK453" t="s">
        <v>199</v>
      </c>
    </row>
    <row r="454" spans="1:37" hidden="1" x14ac:dyDescent="0.25">
      <c r="A454" t="s">
        <v>85</v>
      </c>
      <c r="B454" t="s">
        <v>53</v>
      </c>
      <c r="C454" t="s">
        <v>54</v>
      </c>
      <c r="D454" t="s">
        <v>16</v>
      </c>
      <c r="E454" t="s">
        <v>17</v>
      </c>
      <c r="F454" t="s">
        <v>18</v>
      </c>
      <c r="G454" t="s">
        <v>18</v>
      </c>
      <c r="H454" t="s">
        <v>18</v>
      </c>
      <c r="I454" t="s">
        <v>704</v>
      </c>
      <c r="J454">
        <v>89</v>
      </c>
      <c r="K454" t="s">
        <v>656</v>
      </c>
      <c r="L454" t="s">
        <v>36</v>
      </c>
      <c r="M454" t="str">
        <f t="shared" si="58"/>
        <v>Control</v>
      </c>
      <c r="N454" t="s">
        <v>463</v>
      </c>
      <c r="O454" t="s">
        <v>707</v>
      </c>
      <c r="P454" t="s">
        <v>451</v>
      </c>
      <c r="Q454" t="s">
        <v>707</v>
      </c>
      <c r="R454" t="s">
        <v>408</v>
      </c>
      <c r="S454" t="s">
        <v>701</v>
      </c>
      <c r="T454" t="s">
        <v>695</v>
      </c>
      <c r="U454" t="s">
        <v>609</v>
      </c>
      <c r="V454" s="1"/>
      <c r="W454" s="1"/>
      <c r="X454" s="1">
        <v>1.38E-11</v>
      </c>
      <c r="Y454" s="1"/>
      <c r="Z454" s="1"/>
      <c r="AA454" s="1"/>
      <c r="AF454" s="2">
        <v>2.63</v>
      </c>
      <c r="AK454" t="s">
        <v>199</v>
      </c>
    </row>
    <row r="455" spans="1:37" hidden="1" x14ac:dyDescent="0.25">
      <c r="A455" t="s">
        <v>85</v>
      </c>
      <c r="B455" t="s">
        <v>53</v>
      </c>
      <c r="C455" t="s">
        <v>54</v>
      </c>
      <c r="D455" t="s">
        <v>16</v>
      </c>
      <c r="E455" t="s">
        <v>17</v>
      </c>
      <c r="F455" t="s">
        <v>18</v>
      </c>
      <c r="G455" t="s">
        <v>18</v>
      </c>
      <c r="H455" t="s">
        <v>18</v>
      </c>
      <c r="I455" t="s">
        <v>704</v>
      </c>
      <c r="J455">
        <v>89</v>
      </c>
      <c r="K455" t="s">
        <v>656</v>
      </c>
      <c r="L455" t="s">
        <v>465</v>
      </c>
      <c r="M455" t="str">
        <f t="shared" si="58"/>
        <v>Stress</v>
      </c>
      <c r="N455" t="s">
        <v>463</v>
      </c>
      <c r="O455" t="s">
        <v>707</v>
      </c>
      <c r="P455" t="s">
        <v>449</v>
      </c>
      <c r="Q455" t="s">
        <v>707</v>
      </c>
      <c r="R455" t="s">
        <v>408</v>
      </c>
      <c r="S455" t="s">
        <v>701</v>
      </c>
      <c r="T455" t="s">
        <v>695</v>
      </c>
      <c r="U455" t="s">
        <v>609</v>
      </c>
      <c r="V455" s="1"/>
      <c r="W455" s="1"/>
      <c r="X455" s="1">
        <v>3.1100000000000001E-11</v>
      </c>
      <c r="Y455" s="1"/>
      <c r="Z455" s="1"/>
      <c r="AA455" s="1"/>
      <c r="AF455" s="2">
        <v>1.68</v>
      </c>
      <c r="AK455" t="s">
        <v>199</v>
      </c>
    </row>
    <row r="456" spans="1:37" hidden="1" x14ac:dyDescent="0.25">
      <c r="A456" t="s">
        <v>85</v>
      </c>
      <c r="B456" t="s">
        <v>53</v>
      </c>
      <c r="C456" t="s">
        <v>54</v>
      </c>
      <c r="D456" t="s">
        <v>16</v>
      </c>
      <c r="E456" t="s">
        <v>17</v>
      </c>
      <c r="F456" t="s">
        <v>18</v>
      </c>
      <c r="G456" t="s">
        <v>18</v>
      </c>
      <c r="H456" t="s">
        <v>18</v>
      </c>
      <c r="I456" t="s">
        <v>704</v>
      </c>
      <c r="J456">
        <v>89</v>
      </c>
      <c r="K456" t="s">
        <v>656</v>
      </c>
      <c r="L456" t="s">
        <v>465</v>
      </c>
      <c r="M456" t="str">
        <f t="shared" si="58"/>
        <v>Stress</v>
      </c>
      <c r="N456" t="s">
        <v>463</v>
      </c>
      <c r="O456" t="s">
        <v>707</v>
      </c>
      <c r="P456" t="s">
        <v>450</v>
      </c>
      <c r="Q456" t="s">
        <v>707</v>
      </c>
      <c r="R456" t="s">
        <v>408</v>
      </c>
      <c r="S456" t="s">
        <v>701</v>
      </c>
      <c r="T456" t="s">
        <v>695</v>
      </c>
      <c r="U456" t="s">
        <v>609</v>
      </c>
      <c r="V456" s="1"/>
      <c r="W456" s="1"/>
      <c r="X456" s="1">
        <v>1.2100000000000001E-11</v>
      </c>
      <c r="Y456" s="1"/>
      <c r="Z456" s="1"/>
      <c r="AA456" s="1"/>
      <c r="AF456" s="2">
        <v>1.6</v>
      </c>
      <c r="AK456" t="s">
        <v>199</v>
      </c>
    </row>
    <row r="457" spans="1:37" hidden="1" x14ac:dyDescent="0.25">
      <c r="A457" t="s">
        <v>85</v>
      </c>
      <c r="B457" t="s">
        <v>53</v>
      </c>
      <c r="C457" t="s">
        <v>54</v>
      </c>
      <c r="D457" t="s">
        <v>16</v>
      </c>
      <c r="E457" t="s">
        <v>17</v>
      </c>
      <c r="F457" t="s">
        <v>18</v>
      </c>
      <c r="G457" t="s">
        <v>18</v>
      </c>
      <c r="H457" t="s">
        <v>18</v>
      </c>
      <c r="I457" t="s">
        <v>704</v>
      </c>
      <c r="J457">
        <v>89</v>
      </c>
      <c r="K457" t="s">
        <v>656</v>
      </c>
      <c r="L457" t="s">
        <v>465</v>
      </c>
      <c r="M457" t="str">
        <f t="shared" si="58"/>
        <v>Stress</v>
      </c>
      <c r="N457" t="s">
        <v>463</v>
      </c>
      <c r="O457" t="s">
        <v>707</v>
      </c>
      <c r="P457" t="s">
        <v>451</v>
      </c>
      <c r="Q457" t="s">
        <v>707</v>
      </c>
      <c r="R457" t="s">
        <v>408</v>
      </c>
      <c r="S457" t="s">
        <v>701</v>
      </c>
      <c r="T457" t="s">
        <v>695</v>
      </c>
      <c r="U457" t="s">
        <v>609</v>
      </c>
      <c r="V457" s="1"/>
      <c r="W457" s="1"/>
      <c r="X457" s="1">
        <v>4.7999999999999997E-12</v>
      </c>
      <c r="Y457" s="1"/>
      <c r="Z457" s="1"/>
      <c r="AA457" s="1"/>
      <c r="AF457" s="2">
        <v>0.78</v>
      </c>
      <c r="AK457" t="s">
        <v>199</v>
      </c>
    </row>
    <row r="458" spans="1:37" hidden="1" x14ac:dyDescent="0.25">
      <c r="A458" t="s">
        <v>86</v>
      </c>
      <c r="B458" t="s">
        <v>87</v>
      </c>
      <c r="C458" t="s">
        <v>88</v>
      </c>
      <c r="D458" t="s">
        <v>89</v>
      </c>
      <c r="E458" t="s">
        <v>17</v>
      </c>
      <c r="F458" t="s">
        <v>618</v>
      </c>
      <c r="G458" t="s">
        <v>618</v>
      </c>
      <c r="H458" t="s">
        <v>801</v>
      </c>
      <c r="I458" t="s">
        <v>804</v>
      </c>
      <c r="J458">
        <f>3*7+2</f>
        <v>23</v>
      </c>
      <c r="K458" t="s">
        <v>590</v>
      </c>
      <c r="L458" t="s">
        <v>36</v>
      </c>
      <c r="M458" t="str">
        <f t="shared" si="58"/>
        <v>Control</v>
      </c>
      <c r="R458" t="s">
        <v>408</v>
      </c>
      <c r="S458" t="s">
        <v>701</v>
      </c>
      <c r="T458" t="s">
        <v>695</v>
      </c>
      <c r="U458" t="s">
        <v>609</v>
      </c>
      <c r="V458" s="1"/>
      <c r="W458" s="1"/>
      <c r="X458" s="1"/>
      <c r="Y458" s="1"/>
      <c r="Z458" s="1"/>
      <c r="AA458" s="1"/>
      <c r="AB458" s="1">
        <v>2.0599999999999999E-8</v>
      </c>
      <c r="AF458" s="2"/>
      <c r="AG458" s="2"/>
      <c r="AK458" t="s">
        <v>199</v>
      </c>
    </row>
    <row r="459" spans="1:37" hidden="1" x14ac:dyDescent="0.25">
      <c r="A459" t="s">
        <v>86</v>
      </c>
      <c r="B459" t="s">
        <v>87</v>
      </c>
      <c r="C459" t="s">
        <v>88</v>
      </c>
      <c r="D459" t="s">
        <v>89</v>
      </c>
      <c r="E459" t="s">
        <v>17</v>
      </c>
      <c r="F459" t="s">
        <v>618</v>
      </c>
      <c r="G459" t="s">
        <v>618</v>
      </c>
      <c r="H459" t="s">
        <v>801</v>
      </c>
      <c r="I459" t="s">
        <v>804</v>
      </c>
      <c r="J459">
        <f>3*7+2</f>
        <v>23</v>
      </c>
      <c r="K459" t="s">
        <v>590</v>
      </c>
      <c r="L459" t="s">
        <v>380</v>
      </c>
      <c r="M459" t="str">
        <f t="shared" si="58"/>
        <v>Stress</v>
      </c>
      <c r="R459" t="s">
        <v>408</v>
      </c>
      <c r="S459" t="s">
        <v>701</v>
      </c>
      <c r="T459" t="s">
        <v>695</v>
      </c>
      <c r="U459" t="s">
        <v>609</v>
      </c>
      <c r="V459" s="1"/>
      <c r="W459" s="1"/>
      <c r="X459" s="1"/>
      <c r="Y459" s="1"/>
      <c r="Z459" s="1"/>
      <c r="AA459" s="1"/>
      <c r="AB459" s="1">
        <v>1.46E-8</v>
      </c>
      <c r="AF459" s="2"/>
      <c r="AG459" s="2"/>
      <c r="AK459" t="s">
        <v>199</v>
      </c>
    </row>
    <row r="460" spans="1:37" hidden="1" x14ac:dyDescent="0.25">
      <c r="A460" t="s">
        <v>391</v>
      </c>
      <c r="B460" t="s">
        <v>102</v>
      </c>
      <c r="C460" t="s">
        <v>75</v>
      </c>
      <c r="D460" t="s">
        <v>16</v>
      </c>
      <c r="E460" t="s">
        <v>17</v>
      </c>
      <c r="F460" t="s">
        <v>18</v>
      </c>
      <c r="G460" t="s">
        <v>18</v>
      </c>
      <c r="H460" t="s">
        <v>18</v>
      </c>
      <c r="I460" t="s">
        <v>704</v>
      </c>
      <c r="J460">
        <v>14</v>
      </c>
      <c r="K460" t="s">
        <v>756</v>
      </c>
      <c r="L460" t="s">
        <v>756</v>
      </c>
      <c r="M460" t="s">
        <v>756</v>
      </c>
      <c r="R460" t="s">
        <v>408</v>
      </c>
      <c r="S460" t="s">
        <v>701</v>
      </c>
      <c r="T460" t="s">
        <v>695</v>
      </c>
      <c r="U460" t="s">
        <v>609</v>
      </c>
      <c r="V460" s="1" t="s">
        <v>774</v>
      </c>
      <c r="W460" s="1">
        <v>3.9600000000000003E-10</v>
      </c>
      <c r="X460" s="1"/>
      <c r="Y460" s="1"/>
      <c r="Z460" s="1"/>
      <c r="AA460" s="1"/>
      <c r="AB460" s="1">
        <v>5.7399999999999998E-8</v>
      </c>
      <c r="AD460">
        <v>70</v>
      </c>
      <c r="AE460">
        <v>520</v>
      </c>
      <c r="AF460" s="2"/>
      <c r="AG460" s="2"/>
      <c r="AJ460" s="3"/>
      <c r="AK460" t="s">
        <v>199</v>
      </c>
    </row>
    <row r="461" spans="1:37" hidden="1" x14ac:dyDescent="0.25">
      <c r="A461" t="s">
        <v>391</v>
      </c>
      <c r="B461" t="s">
        <v>392</v>
      </c>
      <c r="C461" t="s">
        <v>191</v>
      </c>
      <c r="D461" t="s">
        <v>89</v>
      </c>
      <c r="E461" t="s">
        <v>17</v>
      </c>
      <c r="F461" t="s">
        <v>618</v>
      </c>
      <c r="G461" t="s">
        <v>618</v>
      </c>
      <c r="H461" t="s">
        <v>801</v>
      </c>
      <c r="I461" t="s">
        <v>804</v>
      </c>
      <c r="J461">
        <v>14</v>
      </c>
      <c r="K461" t="s">
        <v>756</v>
      </c>
      <c r="L461" t="s">
        <v>756</v>
      </c>
      <c r="M461" t="s">
        <v>756</v>
      </c>
      <c r="R461" t="s">
        <v>408</v>
      </c>
      <c r="S461" t="s">
        <v>701</v>
      </c>
      <c r="T461" t="s">
        <v>695</v>
      </c>
      <c r="U461" t="s">
        <v>609</v>
      </c>
      <c r="V461" s="1" t="s">
        <v>774</v>
      </c>
      <c r="W461" s="1">
        <v>8.2400000000000005E-10</v>
      </c>
      <c r="X461" s="1"/>
      <c r="Y461" s="1"/>
      <c r="Z461" s="1"/>
      <c r="AA461" s="1"/>
      <c r="AB461" s="1">
        <v>1.166E-7</v>
      </c>
      <c r="AD461">
        <v>71</v>
      </c>
      <c r="AE461">
        <v>190</v>
      </c>
      <c r="AF461" s="2"/>
      <c r="AG461" s="2"/>
      <c r="AJ461" s="3"/>
      <c r="AK461" t="s">
        <v>199</v>
      </c>
    </row>
    <row r="462" spans="1:37" hidden="1" x14ac:dyDescent="0.25">
      <c r="A462" t="s">
        <v>391</v>
      </c>
      <c r="B462" t="s">
        <v>190</v>
      </c>
      <c r="C462" t="s">
        <v>191</v>
      </c>
      <c r="D462" t="s">
        <v>89</v>
      </c>
      <c r="E462" t="s">
        <v>17</v>
      </c>
      <c r="F462" t="s">
        <v>618</v>
      </c>
      <c r="G462" t="s">
        <v>618</v>
      </c>
      <c r="H462" t="s">
        <v>801</v>
      </c>
      <c r="I462" t="s">
        <v>804</v>
      </c>
      <c r="J462">
        <v>14</v>
      </c>
      <c r="K462" t="s">
        <v>756</v>
      </c>
      <c r="L462" t="s">
        <v>756</v>
      </c>
      <c r="M462" t="s">
        <v>756</v>
      </c>
      <c r="R462" t="s">
        <v>408</v>
      </c>
      <c r="S462" t="s">
        <v>701</v>
      </c>
      <c r="T462" t="s">
        <v>695</v>
      </c>
      <c r="U462" t="s">
        <v>609</v>
      </c>
      <c r="V462" s="1" t="s">
        <v>774</v>
      </c>
      <c r="W462" s="1">
        <v>1.061E-9</v>
      </c>
      <c r="X462" s="1"/>
      <c r="Y462" s="1"/>
      <c r="Z462" s="1"/>
      <c r="AA462" s="1"/>
      <c r="AB462" s="1">
        <v>1.3120000000000001E-7</v>
      </c>
      <c r="AD462">
        <v>82</v>
      </c>
      <c r="AE462">
        <v>230</v>
      </c>
      <c r="AF462" s="2"/>
      <c r="AG462" s="2"/>
      <c r="AJ462" s="3"/>
      <c r="AK462" t="s">
        <v>199</v>
      </c>
    </row>
    <row r="463" spans="1:37" hidden="1" x14ac:dyDescent="0.25">
      <c r="A463" t="s">
        <v>247</v>
      </c>
      <c r="B463" t="s">
        <v>125</v>
      </c>
      <c r="C463" t="s">
        <v>67</v>
      </c>
      <c r="D463" t="s">
        <v>68</v>
      </c>
      <c r="E463" t="s">
        <v>17</v>
      </c>
      <c r="F463" t="s">
        <v>126</v>
      </c>
      <c r="G463" t="s">
        <v>616</v>
      </c>
      <c r="H463" t="s">
        <v>760</v>
      </c>
      <c r="I463" t="s">
        <v>705</v>
      </c>
      <c r="J463">
        <f t="shared" ref="J463:J474" si="65">+(1+2+4)*7</f>
        <v>49</v>
      </c>
      <c r="K463" t="s">
        <v>657</v>
      </c>
      <c r="L463" t="s">
        <v>36</v>
      </c>
      <c r="M463" t="str">
        <f t="shared" ref="M463:M474" si="66">+IF(L463 = "Control", "Control", "Stress")</f>
        <v>Control</v>
      </c>
      <c r="N463" t="s">
        <v>210</v>
      </c>
      <c r="O463" t="s">
        <v>707</v>
      </c>
      <c r="R463" t="s">
        <v>408</v>
      </c>
      <c r="S463" t="s">
        <v>701</v>
      </c>
      <c r="T463" t="s">
        <v>695</v>
      </c>
      <c r="U463" t="s">
        <v>609</v>
      </c>
      <c r="V463" s="1" t="s">
        <v>774</v>
      </c>
      <c r="W463" s="1">
        <f>[65]Yi_etal_2010_Fig2c!C2</f>
        <v>6.2663285665003397E-11</v>
      </c>
      <c r="X463" s="1"/>
      <c r="Y463" s="1"/>
      <c r="AC463" s="1"/>
      <c r="AF463" s="3">
        <f>[66]Yi_etal_2010_Fig1a!B2</f>
        <v>0.53125</v>
      </c>
      <c r="AI463" s="5">
        <f>[67]Yi_etal_2010_Fig1e!C2</f>
        <v>2.6521769974284001E-2</v>
      </c>
      <c r="AK463" t="s">
        <v>44</v>
      </c>
    </row>
    <row r="464" spans="1:37" hidden="1" x14ac:dyDescent="0.25">
      <c r="A464" t="s">
        <v>247</v>
      </c>
      <c r="B464" t="s">
        <v>125</v>
      </c>
      <c r="C464" t="s">
        <v>67</v>
      </c>
      <c r="D464" t="s">
        <v>68</v>
      </c>
      <c r="E464" t="s">
        <v>17</v>
      </c>
      <c r="F464" t="s">
        <v>126</v>
      </c>
      <c r="G464" t="s">
        <v>616</v>
      </c>
      <c r="H464" t="s">
        <v>760</v>
      </c>
      <c r="I464" t="s">
        <v>705</v>
      </c>
      <c r="J464">
        <f t="shared" si="65"/>
        <v>49</v>
      </c>
      <c r="K464" t="s">
        <v>657</v>
      </c>
      <c r="L464" t="s">
        <v>36</v>
      </c>
      <c r="M464" t="str">
        <f t="shared" si="66"/>
        <v>Control</v>
      </c>
      <c r="N464" t="s">
        <v>454</v>
      </c>
      <c r="O464" t="s">
        <v>707</v>
      </c>
      <c r="R464" t="s">
        <v>408</v>
      </c>
      <c r="S464" t="s">
        <v>701</v>
      </c>
      <c r="T464" t="s">
        <v>695</v>
      </c>
      <c r="U464" t="s">
        <v>609</v>
      </c>
      <c r="V464" s="1" t="s">
        <v>774</v>
      </c>
      <c r="W464" s="1">
        <f>[65]Yi_etal_2010_Fig2c!C3</f>
        <v>7.4608183916489293E-11</v>
      </c>
      <c r="X464" s="1"/>
      <c r="Y464" s="1"/>
      <c r="AC464" s="1"/>
      <c r="AF464" s="3">
        <f>[66]Yi_etal_2010_Fig1a!B3</f>
        <v>0.70833333333333104</v>
      </c>
      <c r="AI464" s="5">
        <f>[67]Yi_etal_2010_Fig1e!C3</f>
        <v>2.7793901620238301E-2</v>
      </c>
      <c r="AK464" t="s">
        <v>44</v>
      </c>
    </row>
    <row r="465" spans="1:37" hidden="1" x14ac:dyDescent="0.25">
      <c r="A465" t="s">
        <v>247</v>
      </c>
      <c r="B465" t="s">
        <v>125</v>
      </c>
      <c r="C465" t="s">
        <v>67</v>
      </c>
      <c r="D465" t="s">
        <v>68</v>
      </c>
      <c r="E465" t="s">
        <v>17</v>
      </c>
      <c r="F465" t="s">
        <v>126</v>
      </c>
      <c r="G465" t="s">
        <v>616</v>
      </c>
      <c r="H465" t="s">
        <v>760</v>
      </c>
      <c r="I465" t="s">
        <v>705</v>
      </c>
      <c r="J465">
        <f t="shared" si="65"/>
        <v>49</v>
      </c>
      <c r="K465" t="s">
        <v>657</v>
      </c>
      <c r="L465" t="s">
        <v>36</v>
      </c>
      <c r="M465" t="str">
        <f t="shared" si="66"/>
        <v>Control</v>
      </c>
      <c r="N465" t="s">
        <v>466</v>
      </c>
      <c r="O465" t="s">
        <v>707</v>
      </c>
      <c r="R465" t="s">
        <v>408</v>
      </c>
      <c r="S465" t="s">
        <v>701</v>
      </c>
      <c r="T465" t="s">
        <v>695</v>
      </c>
      <c r="U465" t="s">
        <v>609</v>
      </c>
      <c r="V465" s="1" t="s">
        <v>774</v>
      </c>
      <c r="W465" s="1">
        <f>[65]Yi_etal_2010_Fig2c!C4</f>
        <v>6.4768706055573098E-11</v>
      </c>
      <c r="X465" s="1"/>
      <c r="Y465" s="1"/>
      <c r="AC465" s="1"/>
      <c r="AF465" s="3">
        <f>[66]Yi_etal_2010_Fig1a!B4</f>
        <v>0.70833333333333104</v>
      </c>
      <c r="AI465" s="5">
        <f>[67]Yi_etal_2010_Fig1e!C4</f>
        <v>2.36614347787533E-2</v>
      </c>
      <c r="AK465" t="s">
        <v>44</v>
      </c>
    </row>
    <row r="466" spans="1:37" hidden="1" x14ac:dyDescent="0.25">
      <c r="A466" t="s">
        <v>247</v>
      </c>
      <c r="B466" t="s">
        <v>125</v>
      </c>
      <c r="C466" t="s">
        <v>67</v>
      </c>
      <c r="D466" t="s">
        <v>68</v>
      </c>
      <c r="E466" t="s">
        <v>17</v>
      </c>
      <c r="F466" t="s">
        <v>126</v>
      </c>
      <c r="G466" t="s">
        <v>616</v>
      </c>
      <c r="H466" t="s">
        <v>760</v>
      </c>
      <c r="I466" t="s">
        <v>705</v>
      </c>
      <c r="J466">
        <f t="shared" si="65"/>
        <v>49</v>
      </c>
      <c r="K466" t="s">
        <v>657</v>
      </c>
      <c r="L466" t="s">
        <v>81</v>
      </c>
      <c r="M466" t="str">
        <f t="shared" si="66"/>
        <v>Stress</v>
      </c>
      <c r="N466" t="s">
        <v>210</v>
      </c>
      <c r="O466" t="s">
        <v>707</v>
      </c>
      <c r="R466" t="s">
        <v>408</v>
      </c>
      <c r="S466" t="s">
        <v>701</v>
      </c>
      <c r="T466" t="s">
        <v>695</v>
      </c>
      <c r="U466" t="s">
        <v>609</v>
      </c>
      <c r="V466" s="1" t="s">
        <v>774</v>
      </c>
      <c r="W466" s="1">
        <f>[65]Yi_etal_2010_Fig2c!C5</f>
        <v>5.4767959200366997E-11</v>
      </c>
      <c r="X466" s="1"/>
      <c r="Y466" s="1"/>
      <c r="AC466" s="1"/>
      <c r="AF466" s="3">
        <f>[66]Yi_etal_2010_Fig1a!B5</f>
        <v>0.437499999999998</v>
      </c>
      <c r="AI466" s="5">
        <f>[67]Yi_etal_2010_Fig1e!C5</f>
        <v>2.3247216204917698E-2</v>
      </c>
      <c r="AK466" t="s">
        <v>44</v>
      </c>
    </row>
    <row r="467" spans="1:37" hidden="1" x14ac:dyDescent="0.25">
      <c r="A467" t="s">
        <v>247</v>
      </c>
      <c r="B467" t="s">
        <v>125</v>
      </c>
      <c r="C467" t="s">
        <v>67</v>
      </c>
      <c r="D467" t="s">
        <v>68</v>
      </c>
      <c r="E467" t="s">
        <v>17</v>
      </c>
      <c r="F467" t="s">
        <v>126</v>
      </c>
      <c r="G467" t="s">
        <v>616</v>
      </c>
      <c r="H467" t="s">
        <v>760</v>
      </c>
      <c r="I467" t="s">
        <v>705</v>
      </c>
      <c r="J467">
        <f t="shared" si="65"/>
        <v>49</v>
      </c>
      <c r="K467" t="s">
        <v>657</v>
      </c>
      <c r="L467" t="s">
        <v>81</v>
      </c>
      <c r="M467" t="str">
        <f t="shared" si="66"/>
        <v>Stress</v>
      </c>
      <c r="N467" t="s">
        <v>454</v>
      </c>
      <c r="O467" t="s">
        <v>707</v>
      </c>
      <c r="R467" t="s">
        <v>408</v>
      </c>
      <c r="S467" t="s">
        <v>701</v>
      </c>
      <c r="T467" t="s">
        <v>695</v>
      </c>
      <c r="U467" t="s">
        <v>609</v>
      </c>
      <c r="V467" s="1" t="s">
        <v>774</v>
      </c>
      <c r="W467" s="1">
        <f>[65]Yi_etal_2010_Fig2c!C6</f>
        <v>6.9330450235140793E-11</v>
      </c>
      <c r="X467" s="1"/>
      <c r="Y467" s="1"/>
      <c r="AC467" s="1"/>
      <c r="AF467" s="3">
        <f>[66]Yi_etal_2010_Fig1a!B6</f>
        <v>0.70833333333333204</v>
      </c>
      <c r="AI467" s="5">
        <f>[67]Yi_etal_2010_Fig1e!C6</f>
        <v>2.9551628472618104E-2</v>
      </c>
      <c r="AK467" t="s">
        <v>44</v>
      </c>
    </row>
    <row r="468" spans="1:37" hidden="1" x14ac:dyDescent="0.25">
      <c r="A468" t="s">
        <v>247</v>
      </c>
      <c r="B468" t="s">
        <v>125</v>
      </c>
      <c r="C468" t="s">
        <v>67</v>
      </c>
      <c r="D468" t="s">
        <v>68</v>
      </c>
      <c r="E468" t="s">
        <v>17</v>
      </c>
      <c r="F468" t="s">
        <v>126</v>
      </c>
      <c r="G468" t="s">
        <v>616</v>
      </c>
      <c r="H468" t="s">
        <v>760</v>
      </c>
      <c r="I468" t="s">
        <v>705</v>
      </c>
      <c r="J468">
        <f t="shared" si="65"/>
        <v>49</v>
      </c>
      <c r="K468" t="s">
        <v>657</v>
      </c>
      <c r="L468" t="s">
        <v>81</v>
      </c>
      <c r="M468" t="str">
        <f t="shared" si="66"/>
        <v>Stress</v>
      </c>
      <c r="N468" t="s">
        <v>466</v>
      </c>
      <c r="O468" t="s">
        <v>707</v>
      </c>
      <c r="R468" t="s">
        <v>408</v>
      </c>
      <c r="S468" t="s">
        <v>701</v>
      </c>
      <c r="T468" t="s">
        <v>695</v>
      </c>
      <c r="U468" t="s">
        <v>609</v>
      </c>
      <c r="V468" s="1" t="s">
        <v>774</v>
      </c>
      <c r="W468" s="1">
        <f>[65]Yi_etal_2010_Fig2c!C7</f>
        <v>7.9506648789561093E-11</v>
      </c>
      <c r="X468" s="1"/>
      <c r="Y468" s="1"/>
      <c r="AC468" s="1"/>
      <c r="AF468" s="3">
        <f>[66]Yi_etal_2010_Fig1a!B7</f>
        <v>0.593749999999999</v>
      </c>
      <c r="AI468" s="5">
        <f>[67]Yi_etal_2010_Fig1e!C7</f>
        <v>2.8951038143376597E-2</v>
      </c>
      <c r="AK468" t="s">
        <v>44</v>
      </c>
    </row>
    <row r="469" spans="1:37" hidden="1" x14ac:dyDescent="0.25">
      <c r="A469" t="s">
        <v>247</v>
      </c>
      <c r="B469" t="s">
        <v>248</v>
      </c>
      <c r="C469" t="s">
        <v>363</v>
      </c>
      <c r="D469" t="s">
        <v>249</v>
      </c>
      <c r="E469" t="s">
        <v>17</v>
      </c>
      <c r="F469" t="s">
        <v>126</v>
      </c>
      <c r="G469" t="s">
        <v>616</v>
      </c>
      <c r="H469" t="s">
        <v>760</v>
      </c>
      <c r="I469" t="s">
        <v>705</v>
      </c>
      <c r="J469">
        <f t="shared" si="65"/>
        <v>49</v>
      </c>
      <c r="K469" t="s">
        <v>657</v>
      </c>
      <c r="L469" t="s">
        <v>36</v>
      </c>
      <c r="M469" t="str">
        <f t="shared" si="66"/>
        <v>Control</v>
      </c>
      <c r="N469" t="s">
        <v>210</v>
      </c>
      <c r="O469" t="s">
        <v>707</v>
      </c>
      <c r="R469" t="s">
        <v>408</v>
      </c>
      <c r="S469" t="s">
        <v>701</v>
      </c>
      <c r="T469" t="s">
        <v>695</v>
      </c>
      <c r="U469" t="s">
        <v>609</v>
      </c>
      <c r="V469" s="1" t="s">
        <v>774</v>
      </c>
      <c r="W469" s="1">
        <f>[65]Yi_etal_2010_Fig2c!C8</f>
        <v>7.2664032520209505E-11</v>
      </c>
      <c r="X469" s="1"/>
      <c r="Y469" s="1"/>
      <c r="AC469" s="1"/>
      <c r="AF469" s="3">
        <f>[66]Yi_etal_2010_Fig1a!B8</f>
        <v>0.749999999999999</v>
      </c>
      <c r="AI469" s="5">
        <f>[67]Yi_etal_2010_Fig1e!C8</f>
        <v>1.96948552910245E-2</v>
      </c>
      <c r="AK469" t="s">
        <v>44</v>
      </c>
    </row>
    <row r="470" spans="1:37" hidden="1" x14ac:dyDescent="0.25">
      <c r="A470" t="s">
        <v>247</v>
      </c>
      <c r="B470" t="s">
        <v>248</v>
      </c>
      <c r="C470" t="s">
        <v>363</v>
      </c>
      <c r="D470" t="s">
        <v>249</v>
      </c>
      <c r="E470" t="s">
        <v>17</v>
      </c>
      <c r="F470" t="s">
        <v>126</v>
      </c>
      <c r="G470" t="s">
        <v>616</v>
      </c>
      <c r="H470" t="s">
        <v>760</v>
      </c>
      <c r="I470" t="s">
        <v>705</v>
      </c>
      <c r="J470">
        <f t="shared" si="65"/>
        <v>49</v>
      </c>
      <c r="K470" t="s">
        <v>657</v>
      </c>
      <c r="L470" t="s">
        <v>36</v>
      </c>
      <c r="M470" t="str">
        <f t="shared" si="66"/>
        <v>Control</v>
      </c>
      <c r="N470" t="s">
        <v>454</v>
      </c>
      <c r="O470" t="s">
        <v>707</v>
      </c>
      <c r="R470" t="s">
        <v>408</v>
      </c>
      <c r="S470" t="s">
        <v>701</v>
      </c>
      <c r="T470" t="s">
        <v>695</v>
      </c>
      <c r="U470" t="s">
        <v>609</v>
      </c>
      <c r="V470" s="1" t="s">
        <v>774</v>
      </c>
      <c r="W470" s="1">
        <f>[65]Yi_etal_2010_Fig2c!C9</f>
        <v>7.5797098577604897E-11</v>
      </c>
      <c r="X470" s="1"/>
      <c r="Y470" s="1"/>
      <c r="AC470" s="1"/>
      <c r="AF470" s="3">
        <f>[66]Yi_etal_2010_Fig1a!B9</f>
        <v>0.79166666666666696</v>
      </c>
      <c r="AI470" s="5">
        <f>[67]Yi_etal_2010_Fig1e!C9</f>
        <v>2.10677105106475E-2</v>
      </c>
      <c r="AK470" t="s">
        <v>44</v>
      </c>
    </row>
    <row r="471" spans="1:37" hidden="1" x14ac:dyDescent="0.25">
      <c r="A471" t="s">
        <v>247</v>
      </c>
      <c r="B471" t="s">
        <v>248</v>
      </c>
      <c r="C471" t="s">
        <v>363</v>
      </c>
      <c r="D471" t="s">
        <v>249</v>
      </c>
      <c r="E471" t="s">
        <v>17</v>
      </c>
      <c r="F471" t="s">
        <v>126</v>
      </c>
      <c r="G471" t="s">
        <v>616</v>
      </c>
      <c r="H471" t="s">
        <v>760</v>
      </c>
      <c r="I471" t="s">
        <v>705</v>
      </c>
      <c r="J471">
        <f t="shared" si="65"/>
        <v>49</v>
      </c>
      <c r="K471" t="s">
        <v>657</v>
      </c>
      <c r="L471" t="s">
        <v>36</v>
      </c>
      <c r="M471" t="str">
        <f t="shared" si="66"/>
        <v>Control</v>
      </c>
      <c r="N471" t="s">
        <v>466</v>
      </c>
      <c r="O471" t="s">
        <v>707</v>
      </c>
      <c r="R471" t="s">
        <v>408</v>
      </c>
      <c r="S471" t="s">
        <v>701</v>
      </c>
      <c r="T471" t="s">
        <v>695</v>
      </c>
      <c r="U471" t="s">
        <v>609</v>
      </c>
      <c r="V471" s="1" t="s">
        <v>774</v>
      </c>
      <c r="W471" s="1">
        <f>[65]Yi_etal_2010_Fig2c!C10</f>
        <v>7.2664032520209505E-11</v>
      </c>
      <c r="X471" s="1"/>
      <c r="Y471" s="1"/>
      <c r="AC471" s="1"/>
      <c r="AF471" s="3">
        <f>[66]Yi_etal_2010_Fig1a!B10</f>
        <v>0.91666666666666596</v>
      </c>
      <c r="AI471" s="5">
        <f>[67]Yi_etal_2010_Fig1e!C10</f>
        <v>1.7930011247859E-2</v>
      </c>
      <c r="AK471" t="s">
        <v>44</v>
      </c>
    </row>
    <row r="472" spans="1:37" hidden="1" x14ac:dyDescent="0.25">
      <c r="A472" t="s">
        <v>247</v>
      </c>
      <c r="B472" t="s">
        <v>248</v>
      </c>
      <c r="C472" t="s">
        <v>363</v>
      </c>
      <c r="D472" t="s">
        <v>249</v>
      </c>
      <c r="E472" t="s">
        <v>17</v>
      </c>
      <c r="F472" t="s">
        <v>126</v>
      </c>
      <c r="G472" t="s">
        <v>616</v>
      </c>
      <c r="H472" t="s">
        <v>760</v>
      </c>
      <c r="I472" t="s">
        <v>705</v>
      </c>
      <c r="J472">
        <f t="shared" si="65"/>
        <v>49</v>
      </c>
      <c r="K472" t="s">
        <v>657</v>
      </c>
      <c r="L472" t="s">
        <v>81</v>
      </c>
      <c r="M472" t="str">
        <f t="shared" si="66"/>
        <v>Stress</v>
      </c>
      <c r="N472" t="s">
        <v>210</v>
      </c>
      <c r="O472" t="s">
        <v>707</v>
      </c>
      <c r="R472" t="s">
        <v>408</v>
      </c>
      <c r="S472" t="s">
        <v>701</v>
      </c>
      <c r="T472" t="s">
        <v>695</v>
      </c>
      <c r="U472" t="s">
        <v>609</v>
      </c>
      <c r="V472" s="1" t="s">
        <v>774</v>
      </c>
      <c r="W472" s="1">
        <f>[65]Yi_etal_2010_Fig2c!C11</f>
        <v>6.7387193340767394E-11</v>
      </c>
      <c r="X472" s="1"/>
      <c r="Y472" s="1"/>
      <c r="AC472" s="1"/>
      <c r="AF472" s="3">
        <f>[66]Yi_etal_2010_Fig1a!B11</f>
        <v>0.55208333333333204</v>
      </c>
      <c r="AI472" s="5">
        <f>[67]Yi_etal_2010_Fig1e!C11</f>
        <v>2.11264292681691E-2</v>
      </c>
      <c r="AK472" t="s">
        <v>44</v>
      </c>
    </row>
    <row r="473" spans="1:37" hidden="1" x14ac:dyDescent="0.25">
      <c r="A473" t="s">
        <v>247</v>
      </c>
      <c r="B473" t="s">
        <v>248</v>
      </c>
      <c r="C473" t="s">
        <v>363</v>
      </c>
      <c r="D473" t="s">
        <v>249</v>
      </c>
      <c r="E473" t="s">
        <v>17</v>
      </c>
      <c r="F473" t="s">
        <v>126</v>
      </c>
      <c r="G473" t="s">
        <v>616</v>
      </c>
      <c r="H473" t="s">
        <v>760</v>
      </c>
      <c r="I473" t="s">
        <v>705</v>
      </c>
      <c r="J473">
        <f t="shared" si="65"/>
        <v>49</v>
      </c>
      <c r="K473" t="s">
        <v>657</v>
      </c>
      <c r="L473" t="s">
        <v>81</v>
      </c>
      <c r="M473" t="str">
        <f t="shared" si="66"/>
        <v>Stress</v>
      </c>
      <c r="N473" t="s">
        <v>454</v>
      </c>
      <c r="O473" t="s">
        <v>707</v>
      </c>
      <c r="R473" t="s">
        <v>408</v>
      </c>
      <c r="S473" t="s">
        <v>701</v>
      </c>
      <c r="T473" t="s">
        <v>695</v>
      </c>
      <c r="U473" t="s">
        <v>609</v>
      </c>
      <c r="V473" s="1" t="s">
        <v>774</v>
      </c>
      <c r="W473" s="1">
        <f>[65]Yi_etal_2010_Fig2c!C12</f>
        <v>6.7295921814929196E-11</v>
      </c>
      <c r="X473" s="1"/>
      <c r="Y473" s="1"/>
      <c r="AC473" s="1"/>
      <c r="AF473" s="3">
        <f>[66]Yi_etal_2010_Fig1a!B12</f>
        <v>0.64583333333333304</v>
      </c>
      <c r="AI473" s="5">
        <f>[67]Yi_etal_2010_Fig1e!C12</f>
        <v>2.2264274946477702E-2</v>
      </c>
      <c r="AK473" t="s">
        <v>44</v>
      </c>
    </row>
    <row r="474" spans="1:37" hidden="1" x14ac:dyDescent="0.25">
      <c r="A474" t="s">
        <v>247</v>
      </c>
      <c r="B474" t="s">
        <v>248</v>
      </c>
      <c r="C474" t="s">
        <v>363</v>
      </c>
      <c r="D474" t="s">
        <v>249</v>
      </c>
      <c r="E474" t="s">
        <v>17</v>
      </c>
      <c r="F474" t="s">
        <v>126</v>
      </c>
      <c r="G474" t="s">
        <v>616</v>
      </c>
      <c r="H474" t="s">
        <v>760</v>
      </c>
      <c r="I474" t="s">
        <v>705</v>
      </c>
      <c r="J474">
        <f t="shared" si="65"/>
        <v>49</v>
      </c>
      <c r="K474" t="s">
        <v>657</v>
      </c>
      <c r="L474" t="s">
        <v>81</v>
      </c>
      <c r="M474" t="str">
        <f t="shared" si="66"/>
        <v>Stress</v>
      </c>
      <c r="N474" t="s">
        <v>466</v>
      </c>
      <c r="O474" t="s">
        <v>707</v>
      </c>
      <c r="R474" t="s">
        <v>408</v>
      </c>
      <c r="S474" t="s">
        <v>701</v>
      </c>
      <c r="T474" t="s">
        <v>695</v>
      </c>
      <c r="U474" t="s">
        <v>609</v>
      </c>
      <c r="V474" s="1" t="s">
        <v>774</v>
      </c>
      <c r="W474" s="1">
        <f>[65]Yi_etal_2010_Fig2c!C13</f>
        <v>6.5615141955835899E-11</v>
      </c>
      <c r="X474" s="1"/>
      <c r="Y474" s="1"/>
      <c r="AC474" s="1"/>
      <c r="AF474" s="3">
        <f>[66]Yi_etal_2010_Fig1a!B13</f>
        <v>0.72916666666666596</v>
      </c>
      <c r="AI474" s="5">
        <f>[67]Yi_etal_2010_Fig1e!C13</f>
        <v>2.24591646714551E-2</v>
      </c>
      <c r="AK474" t="s">
        <v>44</v>
      </c>
    </row>
    <row r="475" spans="1:37" hidden="1" x14ac:dyDescent="0.25">
      <c r="A475" t="s">
        <v>393</v>
      </c>
      <c r="B475" t="s">
        <v>394</v>
      </c>
      <c r="C475" t="s">
        <v>67</v>
      </c>
      <c r="D475" t="s">
        <v>68</v>
      </c>
      <c r="E475" t="s">
        <v>17</v>
      </c>
      <c r="F475" t="s">
        <v>126</v>
      </c>
      <c r="G475" t="s">
        <v>616</v>
      </c>
      <c r="H475" t="s">
        <v>760</v>
      </c>
      <c r="I475" t="s">
        <v>705</v>
      </c>
      <c r="J475">
        <f>+(4+12)*7</f>
        <v>112</v>
      </c>
      <c r="K475" t="s">
        <v>209</v>
      </c>
      <c r="L475" t="s">
        <v>210</v>
      </c>
      <c r="M475" t="s">
        <v>707</v>
      </c>
      <c r="R475" t="s">
        <v>408</v>
      </c>
      <c r="S475" t="s">
        <v>701</v>
      </c>
      <c r="T475" t="s">
        <v>695</v>
      </c>
      <c r="U475" t="s">
        <v>609</v>
      </c>
      <c r="V475" s="1" t="s">
        <v>733</v>
      </c>
      <c r="W475" s="1">
        <f>+AA475*AJ475</f>
        <v>1.0915887850467282E-10</v>
      </c>
      <c r="X475" s="1"/>
      <c r="Y475" s="1"/>
      <c r="AA475" s="1">
        <f>'[68]Siemens&amp;Zwiazek_2008_Fig3c'!C2</f>
        <v>2.0000000000000002E-11</v>
      </c>
      <c r="AC475" s="1"/>
      <c r="AF475" s="3"/>
      <c r="AJ475" s="5">
        <f>'[69]Siemens&amp;Zwiazek_2008_Fig3b'!B2</f>
        <v>5.4579439252336401</v>
      </c>
      <c r="AK475" t="s">
        <v>199</v>
      </c>
    </row>
    <row r="476" spans="1:37" hidden="1" x14ac:dyDescent="0.25">
      <c r="A476" t="s">
        <v>393</v>
      </c>
      <c r="B476" t="s">
        <v>394</v>
      </c>
      <c r="C476" t="s">
        <v>67</v>
      </c>
      <c r="D476" t="s">
        <v>68</v>
      </c>
      <c r="E476" t="s">
        <v>17</v>
      </c>
      <c r="F476" t="s">
        <v>126</v>
      </c>
      <c r="G476" t="s">
        <v>616</v>
      </c>
      <c r="H476" t="s">
        <v>760</v>
      </c>
      <c r="I476" t="s">
        <v>705</v>
      </c>
      <c r="J476">
        <f>+(4+12)*7</f>
        <v>112</v>
      </c>
      <c r="K476" t="s">
        <v>209</v>
      </c>
      <c r="L476" t="s">
        <v>415</v>
      </c>
      <c r="M476" t="s">
        <v>707</v>
      </c>
      <c r="R476" t="s">
        <v>408</v>
      </c>
      <c r="S476" t="s">
        <v>701</v>
      </c>
      <c r="T476" t="s">
        <v>695</v>
      </c>
      <c r="U476" t="s">
        <v>609</v>
      </c>
      <c r="V476" s="1" t="s">
        <v>733</v>
      </c>
      <c r="W476" s="1">
        <f t="shared" ref="W476:W477" si="67">+AA476*AJ476</f>
        <v>1.6099065420560756E-10</v>
      </c>
      <c r="X476" s="1"/>
      <c r="Y476" s="1"/>
      <c r="AA476" s="1">
        <f>'[68]Siemens&amp;Zwiazek_2008_Fig3c'!C3</f>
        <v>3.1900000000000001E-11</v>
      </c>
      <c r="AC476" s="1"/>
      <c r="AF476" s="3"/>
      <c r="AJ476" s="5">
        <f>'[69]Siemens&amp;Zwiazek_2008_Fig3b'!B3</f>
        <v>5.0467289719626196</v>
      </c>
      <c r="AK476" t="s">
        <v>199</v>
      </c>
    </row>
    <row r="477" spans="1:37" hidden="1" x14ac:dyDescent="0.25">
      <c r="A477" t="s">
        <v>393</v>
      </c>
      <c r="B477" t="s">
        <v>394</v>
      </c>
      <c r="C477" t="s">
        <v>67</v>
      </c>
      <c r="D477" t="s">
        <v>68</v>
      </c>
      <c r="E477" t="s">
        <v>17</v>
      </c>
      <c r="F477" t="s">
        <v>126</v>
      </c>
      <c r="G477" t="s">
        <v>616</v>
      </c>
      <c r="H477" t="s">
        <v>760</v>
      </c>
      <c r="I477" t="s">
        <v>705</v>
      </c>
      <c r="J477">
        <f>+(4+12)*7</f>
        <v>112</v>
      </c>
      <c r="K477" t="s">
        <v>209</v>
      </c>
      <c r="L477" t="s">
        <v>467</v>
      </c>
      <c r="M477" t="s">
        <v>707</v>
      </c>
      <c r="R477" t="s">
        <v>408</v>
      </c>
      <c r="S477" t="s">
        <v>701</v>
      </c>
      <c r="T477" t="s">
        <v>695</v>
      </c>
      <c r="U477" t="s">
        <v>609</v>
      </c>
      <c r="V477" s="1" t="s">
        <v>733</v>
      </c>
      <c r="W477" s="1">
        <f t="shared" si="67"/>
        <v>1.7507865559876902E-10</v>
      </c>
      <c r="X477" s="1"/>
      <c r="Y477" s="1"/>
      <c r="AA477" s="1">
        <f>'[68]Siemens&amp;Zwiazek_2008_Fig3c'!C4</f>
        <v>2.1987577639751499E-11</v>
      </c>
      <c r="AC477" s="1"/>
      <c r="AF477" s="3"/>
      <c r="AJ477" s="5">
        <f>'[69]Siemens&amp;Zwiazek_2008_Fig3b'!B4</f>
        <v>7.9626168224299096</v>
      </c>
      <c r="AK477" t="s">
        <v>199</v>
      </c>
    </row>
    <row r="478" spans="1:37" hidden="1" x14ac:dyDescent="0.25">
      <c r="A478" t="s">
        <v>90</v>
      </c>
      <c r="B478" t="s">
        <v>53</v>
      </c>
      <c r="C478" t="s">
        <v>54</v>
      </c>
      <c r="D478" t="s">
        <v>16</v>
      </c>
      <c r="E478" t="s">
        <v>17</v>
      </c>
      <c r="F478" t="s">
        <v>18</v>
      </c>
      <c r="G478" t="s">
        <v>18</v>
      </c>
      <c r="H478" t="s">
        <v>18</v>
      </c>
      <c r="I478" t="s">
        <v>704</v>
      </c>
      <c r="J478">
        <f>+AVERAGE(18,22)</f>
        <v>20</v>
      </c>
      <c r="K478" t="s">
        <v>91</v>
      </c>
      <c r="L478" t="s">
        <v>36</v>
      </c>
      <c r="M478" t="str">
        <f t="shared" ref="M478:M509" si="68">+IF(L478 = "Control", "Control", "Stress")</f>
        <v>Control</v>
      </c>
      <c r="R478" t="s">
        <v>408</v>
      </c>
      <c r="S478" t="s">
        <v>701</v>
      </c>
      <c r="T478" t="s">
        <v>695</v>
      </c>
      <c r="U478" t="s">
        <v>609</v>
      </c>
      <c r="V478" s="1"/>
      <c r="W478" s="1"/>
      <c r="X478" s="1"/>
      <c r="Y478" s="1"/>
      <c r="Z478" s="1"/>
      <c r="AA478" s="1"/>
      <c r="AB478" s="1">
        <v>2.0599999999999999E-7</v>
      </c>
      <c r="AF478" s="2"/>
      <c r="AG478" s="2"/>
      <c r="AK478" t="s">
        <v>199</v>
      </c>
    </row>
    <row r="479" spans="1:37" hidden="1" x14ac:dyDescent="0.25">
      <c r="A479" t="s">
        <v>322</v>
      </c>
      <c r="B479" t="s">
        <v>290</v>
      </c>
      <c r="C479" t="s">
        <v>291</v>
      </c>
      <c r="D479" t="s">
        <v>34</v>
      </c>
      <c r="E479" t="s">
        <v>17</v>
      </c>
      <c r="F479" t="s">
        <v>614</v>
      </c>
      <c r="G479" t="s">
        <v>614</v>
      </c>
      <c r="H479" t="s">
        <v>801</v>
      </c>
      <c r="I479" t="s">
        <v>804</v>
      </c>
      <c r="J479">
        <f>5*7</f>
        <v>35</v>
      </c>
      <c r="K479" t="s">
        <v>48</v>
      </c>
      <c r="L479" t="s">
        <v>36</v>
      </c>
      <c r="M479" t="str">
        <f t="shared" si="68"/>
        <v>Control</v>
      </c>
      <c r="R479" t="s">
        <v>408</v>
      </c>
      <c r="S479" t="s">
        <v>701</v>
      </c>
      <c r="T479" t="s">
        <v>695</v>
      </c>
      <c r="U479" t="s">
        <v>610</v>
      </c>
      <c r="V479" s="1"/>
      <c r="W479" s="1"/>
      <c r="X479" s="1"/>
      <c r="Y479" s="1">
        <f>[70]Mahdieh_etal_2008_Fig2b!C2</f>
        <v>2.13252E-9</v>
      </c>
      <c r="Z479" s="1"/>
      <c r="AA479" s="1"/>
      <c r="AF479" s="2"/>
      <c r="AG479" s="2"/>
      <c r="AK479" s="1" t="s">
        <v>348</v>
      </c>
    </row>
    <row r="480" spans="1:37" hidden="1" x14ac:dyDescent="0.25">
      <c r="A480" t="s">
        <v>322</v>
      </c>
      <c r="B480" t="s">
        <v>290</v>
      </c>
      <c r="C480" t="s">
        <v>291</v>
      </c>
      <c r="D480" t="s">
        <v>34</v>
      </c>
      <c r="E480" t="s">
        <v>17</v>
      </c>
      <c r="F480" t="s">
        <v>614</v>
      </c>
      <c r="G480" t="s">
        <v>614</v>
      </c>
      <c r="H480" t="s">
        <v>801</v>
      </c>
      <c r="I480" t="s">
        <v>804</v>
      </c>
      <c r="J480">
        <f>5*7</f>
        <v>35</v>
      </c>
      <c r="K480" t="s">
        <v>48</v>
      </c>
      <c r="L480" t="s">
        <v>36</v>
      </c>
      <c r="M480" t="str">
        <f t="shared" si="68"/>
        <v>Control</v>
      </c>
      <c r="R480" t="s">
        <v>408</v>
      </c>
      <c r="S480" t="s">
        <v>701</v>
      </c>
      <c r="T480" t="s">
        <v>695</v>
      </c>
      <c r="U480" t="s">
        <v>610</v>
      </c>
      <c r="V480" s="1"/>
      <c r="W480" s="1"/>
      <c r="X480" s="1"/>
      <c r="Y480" s="1">
        <f>[70]Mahdieh_etal_2008_Fig2b!C3</f>
        <v>2.0991099999999998E-9</v>
      </c>
      <c r="Z480" s="1"/>
      <c r="AA480" s="1"/>
      <c r="AF480" s="2"/>
      <c r="AG480" s="2"/>
      <c r="AK480" s="1" t="s">
        <v>348</v>
      </c>
    </row>
    <row r="481" spans="1:37" hidden="1" x14ac:dyDescent="0.25">
      <c r="A481" t="s">
        <v>322</v>
      </c>
      <c r="B481" t="s">
        <v>290</v>
      </c>
      <c r="C481" t="s">
        <v>291</v>
      </c>
      <c r="D481" t="s">
        <v>34</v>
      </c>
      <c r="E481" t="s">
        <v>17</v>
      </c>
      <c r="F481" t="s">
        <v>614</v>
      </c>
      <c r="G481" t="s">
        <v>614</v>
      </c>
      <c r="H481" t="s">
        <v>801</v>
      </c>
      <c r="I481" t="s">
        <v>804</v>
      </c>
      <c r="J481">
        <f>5*7</f>
        <v>35</v>
      </c>
      <c r="K481" t="s">
        <v>48</v>
      </c>
      <c r="L481" t="s">
        <v>36</v>
      </c>
      <c r="M481" t="str">
        <f t="shared" si="68"/>
        <v>Control</v>
      </c>
      <c r="R481" t="s">
        <v>408</v>
      </c>
      <c r="S481" t="s">
        <v>701</v>
      </c>
      <c r="T481" t="s">
        <v>695</v>
      </c>
      <c r="U481" t="s">
        <v>610</v>
      </c>
      <c r="V481" s="1"/>
      <c r="W481" s="1"/>
      <c r="X481" s="1"/>
      <c r="Y481" s="1">
        <f>[70]Mahdieh_etal_2008_Fig2b!C4</f>
        <v>2.0991099999999998E-9</v>
      </c>
      <c r="Z481" s="1"/>
      <c r="AA481" s="1"/>
      <c r="AF481" s="2"/>
      <c r="AG481" s="2"/>
      <c r="AK481" s="1" t="s">
        <v>348</v>
      </c>
    </row>
    <row r="482" spans="1:37" hidden="1" x14ac:dyDescent="0.25">
      <c r="A482" t="s">
        <v>322</v>
      </c>
      <c r="B482" t="s">
        <v>290</v>
      </c>
      <c r="C482" t="s">
        <v>291</v>
      </c>
      <c r="D482" t="s">
        <v>34</v>
      </c>
      <c r="E482" t="s">
        <v>17</v>
      </c>
      <c r="F482" t="s">
        <v>614</v>
      </c>
      <c r="G482" t="s">
        <v>614</v>
      </c>
      <c r="H482" t="s">
        <v>801</v>
      </c>
      <c r="I482" t="s">
        <v>804</v>
      </c>
      <c r="J482">
        <f>5*7+1</f>
        <v>36</v>
      </c>
      <c r="K482" t="s">
        <v>48</v>
      </c>
      <c r="L482" t="s">
        <v>36</v>
      </c>
      <c r="M482" t="str">
        <f t="shared" si="68"/>
        <v>Control</v>
      </c>
      <c r="R482" t="s">
        <v>408</v>
      </c>
      <c r="S482" t="s">
        <v>701</v>
      </c>
      <c r="T482" t="s">
        <v>695</v>
      </c>
      <c r="U482" t="s">
        <v>610</v>
      </c>
      <c r="V482" s="1"/>
      <c r="W482" s="1"/>
      <c r="X482" s="1"/>
      <c r="Y482" s="1">
        <f>[70]Mahdieh_etal_2008_Fig2b!C5</f>
        <v>2.0783300000000002E-9</v>
      </c>
      <c r="Z482" s="1"/>
      <c r="AA482" s="1"/>
      <c r="AF482" s="2"/>
      <c r="AG482" s="2"/>
      <c r="AK482" s="1" t="s">
        <v>348</v>
      </c>
    </row>
    <row r="483" spans="1:37" hidden="1" x14ac:dyDescent="0.25">
      <c r="A483" t="s">
        <v>322</v>
      </c>
      <c r="B483" t="s">
        <v>290</v>
      </c>
      <c r="C483" t="s">
        <v>291</v>
      </c>
      <c r="D483" t="s">
        <v>34</v>
      </c>
      <c r="E483" t="s">
        <v>17</v>
      </c>
      <c r="F483" t="s">
        <v>614</v>
      </c>
      <c r="G483" t="s">
        <v>614</v>
      </c>
      <c r="H483" t="s">
        <v>801</v>
      </c>
      <c r="I483" t="s">
        <v>804</v>
      </c>
      <c r="J483">
        <f>5*7+1</f>
        <v>36</v>
      </c>
      <c r="K483" t="s">
        <v>48</v>
      </c>
      <c r="L483" t="s">
        <v>48</v>
      </c>
      <c r="M483" t="str">
        <f t="shared" si="68"/>
        <v>Stress</v>
      </c>
      <c r="R483" t="s">
        <v>408</v>
      </c>
      <c r="S483" t="s">
        <v>701</v>
      </c>
      <c r="T483" t="s">
        <v>695</v>
      </c>
      <c r="U483" t="s">
        <v>610</v>
      </c>
      <c r="V483" s="1"/>
      <c r="W483" s="1"/>
      <c r="X483" s="1"/>
      <c r="Y483" s="1">
        <f>[70]Mahdieh_etal_2008_Fig2b!C6</f>
        <v>1.3680600000000001E-10</v>
      </c>
      <c r="Z483" s="1"/>
      <c r="AA483" s="1"/>
      <c r="AF483" s="2"/>
      <c r="AG483" s="2"/>
      <c r="AK483" s="1" t="s">
        <v>348</v>
      </c>
    </row>
    <row r="484" spans="1:37" hidden="1" x14ac:dyDescent="0.25">
      <c r="A484" t="s">
        <v>250</v>
      </c>
      <c r="B484" t="s">
        <v>251</v>
      </c>
      <c r="C484" t="s">
        <v>252</v>
      </c>
      <c r="D484" t="s">
        <v>253</v>
      </c>
      <c r="E484" t="s">
        <v>17</v>
      </c>
      <c r="F484" t="s">
        <v>69</v>
      </c>
      <c r="G484" t="s">
        <v>616</v>
      </c>
      <c r="H484" t="s">
        <v>760</v>
      </c>
      <c r="I484" t="s">
        <v>705</v>
      </c>
      <c r="J484">
        <f t="shared" ref="J484:J499" si="69">1*365</f>
        <v>365</v>
      </c>
      <c r="K484" t="s">
        <v>658</v>
      </c>
      <c r="L484" t="s">
        <v>36</v>
      </c>
      <c r="M484" t="str">
        <f t="shared" si="68"/>
        <v>Control</v>
      </c>
      <c r="N484" t="s">
        <v>36</v>
      </c>
      <c r="O484" t="str">
        <f t="shared" ref="O484:O499" si="70">+IF(N484="Control","Control","Stress")</f>
        <v>Control</v>
      </c>
      <c r="P484" t="s">
        <v>210</v>
      </c>
      <c r="Q484" t="s">
        <v>707</v>
      </c>
      <c r="R484" t="s">
        <v>408</v>
      </c>
      <c r="S484" t="s">
        <v>701</v>
      </c>
      <c r="T484" t="s">
        <v>695</v>
      </c>
      <c r="U484" t="s">
        <v>609</v>
      </c>
      <c r="V484" s="1" t="s">
        <v>774</v>
      </c>
      <c r="W484" s="1">
        <f>'[71]Calvo-Polanco_etal_2008_Fig4'!C2</f>
        <v>1.31171171171171E-9</v>
      </c>
      <c r="X484" s="1"/>
      <c r="Y484" s="1"/>
      <c r="AF484" s="2">
        <f>'[72]Calvo-Polanco_etal_2008_Fig1ab'!C2</f>
        <v>3.3980015262806518</v>
      </c>
      <c r="AK484" t="s">
        <v>44</v>
      </c>
    </row>
    <row r="485" spans="1:37" hidden="1" x14ac:dyDescent="0.25">
      <c r="A485" t="s">
        <v>250</v>
      </c>
      <c r="B485" t="s">
        <v>251</v>
      </c>
      <c r="C485" t="s">
        <v>252</v>
      </c>
      <c r="D485" t="s">
        <v>253</v>
      </c>
      <c r="E485" t="s">
        <v>17</v>
      </c>
      <c r="F485" t="s">
        <v>69</v>
      </c>
      <c r="G485" t="s">
        <v>616</v>
      </c>
      <c r="H485" t="s">
        <v>760</v>
      </c>
      <c r="I485" t="s">
        <v>705</v>
      </c>
      <c r="J485">
        <f t="shared" si="69"/>
        <v>365</v>
      </c>
      <c r="K485" t="s">
        <v>658</v>
      </c>
      <c r="L485" t="s">
        <v>36</v>
      </c>
      <c r="M485" t="str">
        <f t="shared" si="68"/>
        <v>Control</v>
      </c>
      <c r="N485" t="s">
        <v>36</v>
      </c>
      <c r="O485" t="str">
        <f t="shared" si="70"/>
        <v>Control</v>
      </c>
      <c r="P485" t="s">
        <v>466</v>
      </c>
      <c r="Q485" t="s">
        <v>707</v>
      </c>
      <c r="R485" t="s">
        <v>408</v>
      </c>
      <c r="S485" t="s">
        <v>701</v>
      </c>
      <c r="T485" t="s">
        <v>695</v>
      </c>
      <c r="U485" t="s">
        <v>609</v>
      </c>
      <c r="V485" s="1" t="s">
        <v>774</v>
      </c>
      <c r="W485" s="1">
        <f>'[71]Calvo-Polanco_etal_2008_Fig4'!C3</f>
        <v>5.0930930930930905E-10</v>
      </c>
      <c r="X485" s="1"/>
      <c r="Y485" s="1"/>
      <c r="AF485" s="2">
        <f>'[72]Calvo-Polanco_etal_2008_Fig1ab'!C3</f>
        <v>2.4088016967126218</v>
      </c>
      <c r="AK485" t="s">
        <v>44</v>
      </c>
    </row>
    <row r="486" spans="1:37" hidden="1" x14ac:dyDescent="0.25">
      <c r="A486" t="s">
        <v>250</v>
      </c>
      <c r="B486" t="s">
        <v>251</v>
      </c>
      <c r="C486" t="s">
        <v>252</v>
      </c>
      <c r="D486" t="s">
        <v>253</v>
      </c>
      <c r="E486" t="s">
        <v>17</v>
      </c>
      <c r="F486" t="s">
        <v>69</v>
      </c>
      <c r="G486" t="s">
        <v>616</v>
      </c>
      <c r="H486" t="s">
        <v>760</v>
      </c>
      <c r="I486" t="s">
        <v>705</v>
      </c>
      <c r="J486">
        <f t="shared" si="69"/>
        <v>365</v>
      </c>
      <c r="K486" t="s">
        <v>658</v>
      </c>
      <c r="L486" t="s">
        <v>36</v>
      </c>
      <c r="M486" t="str">
        <f t="shared" si="68"/>
        <v>Control</v>
      </c>
      <c r="N486" t="s">
        <v>36</v>
      </c>
      <c r="O486" t="str">
        <f t="shared" si="70"/>
        <v>Control</v>
      </c>
      <c r="P486" t="s">
        <v>454</v>
      </c>
      <c r="Q486" t="s">
        <v>707</v>
      </c>
      <c r="R486" t="s">
        <v>408</v>
      </c>
      <c r="S486" t="s">
        <v>701</v>
      </c>
      <c r="T486" t="s">
        <v>695</v>
      </c>
      <c r="U486" t="s">
        <v>609</v>
      </c>
      <c r="V486" s="1" t="s">
        <v>774</v>
      </c>
      <c r="W486" s="1">
        <f>'[71]Calvo-Polanco_etal_2008_Fig4'!C4</f>
        <v>6.1501501501501502E-10</v>
      </c>
      <c r="X486" s="1"/>
      <c r="Y486" s="1"/>
      <c r="AF486" s="2">
        <f>'[72]Calvo-Polanco_etal_2008_Fig1ab'!C4</f>
        <v>2.6691081430417984</v>
      </c>
      <c r="AK486" t="s">
        <v>44</v>
      </c>
    </row>
    <row r="487" spans="1:37" hidden="1" x14ac:dyDescent="0.25">
      <c r="A487" t="s">
        <v>250</v>
      </c>
      <c r="B487" t="s">
        <v>251</v>
      </c>
      <c r="C487" t="s">
        <v>252</v>
      </c>
      <c r="D487" t="s">
        <v>253</v>
      </c>
      <c r="E487" t="s">
        <v>17</v>
      </c>
      <c r="F487" t="s">
        <v>69</v>
      </c>
      <c r="G487" t="s">
        <v>616</v>
      </c>
      <c r="H487" t="s">
        <v>760</v>
      </c>
      <c r="I487" t="s">
        <v>705</v>
      </c>
      <c r="J487">
        <f t="shared" si="69"/>
        <v>365</v>
      </c>
      <c r="K487" t="s">
        <v>658</v>
      </c>
      <c r="L487" t="s">
        <v>36</v>
      </c>
      <c r="M487" t="str">
        <f t="shared" si="68"/>
        <v>Control</v>
      </c>
      <c r="N487" t="s">
        <v>36</v>
      </c>
      <c r="O487" t="str">
        <f t="shared" si="70"/>
        <v>Control</v>
      </c>
      <c r="P487" t="s">
        <v>468</v>
      </c>
      <c r="Q487" t="s">
        <v>707</v>
      </c>
      <c r="R487" t="s">
        <v>408</v>
      </c>
      <c r="S487" t="s">
        <v>701</v>
      </c>
      <c r="T487" t="s">
        <v>695</v>
      </c>
      <c r="U487" t="s">
        <v>609</v>
      </c>
      <c r="V487" s="1" t="s">
        <v>774</v>
      </c>
      <c r="W487" s="1">
        <f>'[71]Calvo-Polanco_etal_2008_Fig4'!C5</f>
        <v>7.0630630630630606E-10</v>
      </c>
      <c r="X487" s="1"/>
      <c r="Y487" s="1"/>
      <c r="AF487" s="2">
        <f>'[72]Calvo-Polanco_etal_2008_Fig1ab'!C5</f>
        <v>2.623853811894159</v>
      </c>
      <c r="AK487" t="s">
        <v>44</v>
      </c>
    </row>
    <row r="488" spans="1:37" hidden="1" x14ac:dyDescent="0.25">
      <c r="A488" t="s">
        <v>250</v>
      </c>
      <c r="B488" t="s">
        <v>251</v>
      </c>
      <c r="C488" t="s">
        <v>252</v>
      </c>
      <c r="D488" t="s">
        <v>253</v>
      </c>
      <c r="E488" t="s">
        <v>17</v>
      </c>
      <c r="F488" t="s">
        <v>69</v>
      </c>
      <c r="G488" t="s">
        <v>616</v>
      </c>
      <c r="H488" t="s">
        <v>760</v>
      </c>
      <c r="I488" t="s">
        <v>705</v>
      </c>
      <c r="J488">
        <f t="shared" si="69"/>
        <v>365</v>
      </c>
      <c r="K488" t="s">
        <v>658</v>
      </c>
      <c r="L488" t="s">
        <v>81</v>
      </c>
      <c r="M488" t="str">
        <f t="shared" si="68"/>
        <v>Stress</v>
      </c>
      <c r="N488" t="s">
        <v>36</v>
      </c>
      <c r="O488" t="str">
        <f t="shared" si="70"/>
        <v>Control</v>
      </c>
      <c r="P488" t="s">
        <v>210</v>
      </c>
      <c r="Q488" t="s">
        <v>707</v>
      </c>
      <c r="R488" t="s">
        <v>408</v>
      </c>
      <c r="S488" t="s">
        <v>701</v>
      </c>
      <c r="T488" t="s">
        <v>695</v>
      </c>
      <c r="U488" t="s">
        <v>609</v>
      </c>
      <c r="V488" s="1" t="s">
        <v>774</v>
      </c>
      <c r="W488" s="1">
        <f>'[71]Calvo-Polanco_etal_2008_Fig4'!C6</f>
        <v>5.9099099099099102E-10</v>
      </c>
      <c r="X488" s="1"/>
      <c r="Y488" s="1"/>
      <c r="AF488" s="2">
        <f>'[72]Calvo-Polanco_etal_2008_Fig1ab'!C6</f>
        <v>2.6859440559440637</v>
      </c>
      <c r="AK488" t="s">
        <v>44</v>
      </c>
    </row>
    <row r="489" spans="1:37" hidden="1" x14ac:dyDescent="0.25">
      <c r="A489" t="s">
        <v>250</v>
      </c>
      <c r="B489" t="s">
        <v>251</v>
      </c>
      <c r="C489" t="s">
        <v>252</v>
      </c>
      <c r="D489" t="s">
        <v>253</v>
      </c>
      <c r="E489" t="s">
        <v>17</v>
      </c>
      <c r="F489" t="s">
        <v>69</v>
      </c>
      <c r="G489" t="s">
        <v>616</v>
      </c>
      <c r="H489" t="s">
        <v>760</v>
      </c>
      <c r="I489" t="s">
        <v>705</v>
      </c>
      <c r="J489">
        <f t="shared" si="69"/>
        <v>365</v>
      </c>
      <c r="K489" t="s">
        <v>658</v>
      </c>
      <c r="L489" t="s">
        <v>81</v>
      </c>
      <c r="M489" t="str">
        <f t="shared" si="68"/>
        <v>Stress</v>
      </c>
      <c r="N489" t="s">
        <v>36</v>
      </c>
      <c r="O489" t="str">
        <f t="shared" si="70"/>
        <v>Control</v>
      </c>
      <c r="P489" t="s">
        <v>466</v>
      </c>
      <c r="Q489" t="s">
        <v>707</v>
      </c>
      <c r="R489" t="s">
        <v>408</v>
      </c>
      <c r="S489" t="s">
        <v>701</v>
      </c>
      <c r="T489" t="s">
        <v>695</v>
      </c>
      <c r="U489" t="s">
        <v>609</v>
      </c>
      <c r="V489" s="1" t="s">
        <v>774</v>
      </c>
      <c r="W489" s="1">
        <f>'[71]Calvo-Polanco_etal_2008_Fig4'!C7</f>
        <v>2.4744744744744706E-10</v>
      </c>
      <c r="X489" s="1"/>
      <c r="Y489" s="1"/>
      <c r="AF489" s="2">
        <f>'[72]Calvo-Polanco_etal_2008_Fig1ab'!C7</f>
        <v>2.2062386721358433</v>
      </c>
      <c r="AK489" t="s">
        <v>44</v>
      </c>
    </row>
    <row r="490" spans="1:37" hidden="1" x14ac:dyDescent="0.25">
      <c r="A490" t="s">
        <v>250</v>
      </c>
      <c r="B490" t="s">
        <v>251</v>
      </c>
      <c r="C490" t="s">
        <v>252</v>
      </c>
      <c r="D490" t="s">
        <v>253</v>
      </c>
      <c r="E490" t="s">
        <v>17</v>
      </c>
      <c r="F490" t="s">
        <v>69</v>
      </c>
      <c r="G490" t="s">
        <v>616</v>
      </c>
      <c r="H490" t="s">
        <v>760</v>
      </c>
      <c r="I490" t="s">
        <v>705</v>
      </c>
      <c r="J490">
        <f t="shared" si="69"/>
        <v>365</v>
      </c>
      <c r="K490" t="s">
        <v>658</v>
      </c>
      <c r="L490" t="s">
        <v>81</v>
      </c>
      <c r="M490" t="str">
        <f t="shared" si="68"/>
        <v>Stress</v>
      </c>
      <c r="N490" t="s">
        <v>36</v>
      </c>
      <c r="O490" t="str">
        <f t="shared" si="70"/>
        <v>Control</v>
      </c>
      <c r="P490" t="s">
        <v>454</v>
      </c>
      <c r="Q490" t="s">
        <v>707</v>
      </c>
      <c r="R490" t="s">
        <v>408</v>
      </c>
      <c r="S490" t="s">
        <v>701</v>
      </c>
      <c r="T490" t="s">
        <v>695</v>
      </c>
      <c r="U490" t="s">
        <v>609</v>
      </c>
      <c r="V490" s="1" t="s">
        <v>774</v>
      </c>
      <c r="W490" s="1">
        <f>'[71]Calvo-Polanco_etal_2008_Fig4'!C8</f>
        <v>4.5165165165165101E-10</v>
      </c>
      <c r="X490" s="1"/>
      <c r="Y490" s="1"/>
      <c r="AF490" s="2">
        <f>'[72]Calvo-Polanco_etal_2008_Fig1ab'!C8</f>
        <v>2.4552059888443156</v>
      </c>
      <c r="AK490" t="s">
        <v>44</v>
      </c>
    </row>
    <row r="491" spans="1:37" hidden="1" x14ac:dyDescent="0.25">
      <c r="A491" t="s">
        <v>250</v>
      </c>
      <c r="B491" t="s">
        <v>251</v>
      </c>
      <c r="C491" t="s">
        <v>252</v>
      </c>
      <c r="D491" t="s">
        <v>253</v>
      </c>
      <c r="E491" t="s">
        <v>17</v>
      </c>
      <c r="F491" t="s">
        <v>69</v>
      </c>
      <c r="G491" t="s">
        <v>616</v>
      </c>
      <c r="H491" t="s">
        <v>760</v>
      </c>
      <c r="I491" t="s">
        <v>705</v>
      </c>
      <c r="J491">
        <f t="shared" si="69"/>
        <v>365</v>
      </c>
      <c r="K491" t="s">
        <v>658</v>
      </c>
      <c r="L491" t="s">
        <v>81</v>
      </c>
      <c r="M491" t="str">
        <f t="shared" si="68"/>
        <v>Stress</v>
      </c>
      <c r="N491" t="s">
        <v>36</v>
      </c>
      <c r="O491" t="str">
        <f t="shared" si="70"/>
        <v>Control</v>
      </c>
      <c r="P491" t="s">
        <v>468</v>
      </c>
      <c r="Q491" t="s">
        <v>707</v>
      </c>
      <c r="R491" t="s">
        <v>408</v>
      </c>
      <c r="S491" t="s">
        <v>701</v>
      </c>
      <c r="T491" t="s">
        <v>695</v>
      </c>
      <c r="U491" t="s">
        <v>609</v>
      </c>
      <c r="V491" s="1" t="s">
        <v>774</v>
      </c>
      <c r="W491" s="1">
        <f>'[71]Calvo-Polanco_etal_2008_Fig4'!C9</f>
        <v>4.6126126126126101E-10</v>
      </c>
      <c r="X491" s="1"/>
      <c r="Y491" s="1"/>
      <c r="AF491" s="2">
        <f>'[72]Calvo-Polanco_etal_2008_Fig1ab'!C9</f>
        <v>2.254982254982258</v>
      </c>
      <c r="AK491" t="s">
        <v>44</v>
      </c>
    </row>
    <row r="492" spans="1:37" hidden="1" x14ac:dyDescent="0.25">
      <c r="A492" t="s">
        <v>250</v>
      </c>
      <c r="B492" t="s">
        <v>251</v>
      </c>
      <c r="C492" t="s">
        <v>252</v>
      </c>
      <c r="D492" t="s">
        <v>253</v>
      </c>
      <c r="E492" t="s">
        <v>17</v>
      </c>
      <c r="F492" t="s">
        <v>69</v>
      </c>
      <c r="G492" t="s">
        <v>616</v>
      </c>
      <c r="H492" t="s">
        <v>760</v>
      </c>
      <c r="I492" t="s">
        <v>705</v>
      </c>
      <c r="J492">
        <f t="shared" si="69"/>
        <v>365</v>
      </c>
      <c r="K492" t="s">
        <v>658</v>
      </c>
      <c r="L492" t="s">
        <v>36</v>
      </c>
      <c r="M492" t="str">
        <f t="shared" si="68"/>
        <v>Control</v>
      </c>
      <c r="N492" t="s">
        <v>469</v>
      </c>
      <c r="O492" t="str">
        <f t="shared" si="70"/>
        <v>Stress</v>
      </c>
      <c r="P492" t="s">
        <v>210</v>
      </c>
      <c r="Q492" t="s">
        <v>707</v>
      </c>
      <c r="R492" t="s">
        <v>408</v>
      </c>
      <c r="S492" t="s">
        <v>701</v>
      </c>
      <c r="T492" t="s">
        <v>695</v>
      </c>
      <c r="U492" t="s">
        <v>609</v>
      </c>
      <c r="V492" s="1" t="s">
        <v>774</v>
      </c>
      <c r="W492" s="1">
        <f>'[71]Calvo-Polanco_etal_2008_Fig4'!C10</f>
        <v>5.6696696696696703E-10</v>
      </c>
      <c r="X492" s="1"/>
      <c r="Y492" s="1"/>
      <c r="AF492" s="2">
        <f>'[72]Calvo-Polanco_etal_2008_Fig1ab'!C10</f>
        <v>3.0077223260415558</v>
      </c>
      <c r="AK492" t="s">
        <v>44</v>
      </c>
    </row>
    <row r="493" spans="1:37" hidden="1" x14ac:dyDescent="0.25">
      <c r="A493" t="s">
        <v>250</v>
      </c>
      <c r="B493" t="s">
        <v>251</v>
      </c>
      <c r="C493" t="s">
        <v>252</v>
      </c>
      <c r="D493" t="s">
        <v>253</v>
      </c>
      <c r="E493" t="s">
        <v>17</v>
      </c>
      <c r="F493" t="s">
        <v>69</v>
      </c>
      <c r="G493" t="s">
        <v>616</v>
      </c>
      <c r="H493" t="s">
        <v>760</v>
      </c>
      <c r="I493" t="s">
        <v>705</v>
      </c>
      <c r="J493">
        <f t="shared" si="69"/>
        <v>365</v>
      </c>
      <c r="K493" t="s">
        <v>658</v>
      </c>
      <c r="L493" t="s">
        <v>36</v>
      </c>
      <c r="M493" t="str">
        <f t="shared" si="68"/>
        <v>Control</v>
      </c>
      <c r="N493" t="s">
        <v>469</v>
      </c>
      <c r="O493" t="str">
        <f t="shared" si="70"/>
        <v>Stress</v>
      </c>
      <c r="P493" t="s">
        <v>466</v>
      </c>
      <c r="Q493" t="s">
        <v>707</v>
      </c>
      <c r="R493" t="s">
        <v>408</v>
      </c>
      <c r="S493" t="s">
        <v>701</v>
      </c>
      <c r="T493" t="s">
        <v>695</v>
      </c>
      <c r="U493" t="s">
        <v>609</v>
      </c>
      <c r="V493" s="1" t="s">
        <v>774</v>
      </c>
      <c r="W493" s="1">
        <f>'[71]Calvo-Polanco_etal_2008_Fig4'!C11</f>
        <v>6.4864864864864797E-10</v>
      </c>
      <c r="X493" s="1"/>
      <c r="Y493" s="1"/>
      <c r="AF493" s="2">
        <f>'[72]Calvo-Polanco_etal_2008_Fig1ab'!C11</f>
        <v>2.5267379679144448</v>
      </c>
      <c r="AK493" t="s">
        <v>44</v>
      </c>
    </row>
    <row r="494" spans="1:37" hidden="1" x14ac:dyDescent="0.25">
      <c r="A494" t="s">
        <v>250</v>
      </c>
      <c r="B494" t="s">
        <v>251</v>
      </c>
      <c r="C494" t="s">
        <v>252</v>
      </c>
      <c r="D494" t="s">
        <v>253</v>
      </c>
      <c r="E494" t="s">
        <v>17</v>
      </c>
      <c r="F494" t="s">
        <v>69</v>
      </c>
      <c r="G494" t="s">
        <v>616</v>
      </c>
      <c r="H494" t="s">
        <v>760</v>
      </c>
      <c r="I494" t="s">
        <v>705</v>
      </c>
      <c r="J494">
        <f t="shared" si="69"/>
        <v>365</v>
      </c>
      <c r="K494" t="s">
        <v>658</v>
      </c>
      <c r="L494" t="s">
        <v>36</v>
      </c>
      <c r="M494" t="str">
        <f t="shared" si="68"/>
        <v>Control</v>
      </c>
      <c r="N494" t="s">
        <v>469</v>
      </c>
      <c r="O494" t="str">
        <f t="shared" si="70"/>
        <v>Stress</v>
      </c>
      <c r="P494" t="s">
        <v>454</v>
      </c>
      <c r="Q494" t="s">
        <v>707</v>
      </c>
      <c r="R494" t="s">
        <v>408</v>
      </c>
      <c r="S494" t="s">
        <v>701</v>
      </c>
      <c r="T494" t="s">
        <v>695</v>
      </c>
      <c r="U494" t="s">
        <v>609</v>
      </c>
      <c r="V494" s="1" t="s">
        <v>774</v>
      </c>
      <c r="W494" s="1">
        <f>'[71]Calvo-Polanco_etal_2008_Fig4'!C12</f>
        <v>1.0138138138138099E-9</v>
      </c>
      <c r="X494" s="1"/>
      <c r="Y494" s="1"/>
      <c r="AF494" s="2">
        <f>'[72]Calvo-Polanco_etal_2008_Fig1ab'!C12</f>
        <v>3.3622795115332536</v>
      </c>
      <c r="AK494" t="s">
        <v>44</v>
      </c>
    </row>
    <row r="495" spans="1:37" hidden="1" x14ac:dyDescent="0.25">
      <c r="A495" t="s">
        <v>250</v>
      </c>
      <c r="B495" t="s">
        <v>251</v>
      </c>
      <c r="C495" t="s">
        <v>252</v>
      </c>
      <c r="D495" t="s">
        <v>253</v>
      </c>
      <c r="E495" t="s">
        <v>17</v>
      </c>
      <c r="F495" t="s">
        <v>69</v>
      </c>
      <c r="G495" t="s">
        <v>616</v>
      </c>
      <c r="H495" t="s">
        <v>760</v>
      </c>
      <c r="I495" t="s">
        <v>705</v>
      </c>
      <c r="J495">
        <f t="shared" si="69"/>
        <v>365</v>
      </c>
      <c r="K495" t="s">
        <v>658</v>
      </c>
      <c r="L495" t="s">
        <v>36</v>
      </c>
      <c r="M495" t="str">
        <f t="shared" si="68"/>
        <v>Control</v>
      </c>
      <c r="N495" t="s">
        <v>469</v>
      </c>
      <c r="O495" t="str">
        <f t="shared" si="70"/>
        <v>Stress</v>
      </c>
      <c r="P495" t="s">
        <v>468</v>
      </c>
      <c r="Q495" t="s">
        <v>707</v>
      </c>
      <c r="R495" t="s">
        <v>408</v>
      </c>
      <c r="S495" t="s">
        <v>701</v>
      </c>
      <c r="T495" t="s">
        <v>695</v>
      </c>
      <c r="U495" t="s">
        <v>609</v>
      </c>
      <c r="V495" s="1" t="s">
        <v>774</v>
      </c>
      <c r="W495" s="1">
        <f>'[71]Calvo-Polanco_etal_2008_Fig4'!C13</f>
        <v>7.9279279279279204E-10</v>
      </c>
      <c r="X495" s="1"/>
      <c r="Y495" s="1"/>
      <c r="AF495" s="2">
        <f>'[72]Calvo-Polanco_etal_2008_Fig1ab'!C13</f>
        <v>2.8943835751653451</v>
      </c>
      <c r="AK495" t="s">
        <v>44</v>
      </c>
    </row>
    <row r="496" spans="1:37" hidden="1" x14ac:dyDescent="0.25">
      <c r="A496" t="s">
        <v>250</v>
      </c>
      <c r="B496" t="s">
        <v>251</v>
      </c>
      <c r="C496" t="s">
        <v>252</v>
      </c>
      <c r="D496" t="s">
        <v>253</v>
      </c>
      <c r="E496" t="s">
        <v>17</v>
      </c>
      <c r="F496" t="s">
        <v>69</v>
      </c>
      <c r="G496" t="s">
        <v>616</v>
      </c>
      <c r="H496" t="s">
        <v>760</v>
      </c>
      <c r="I496" t="s">
        <v>705</v>
      </c>
      <c r="J496">
        <f t="shared" si="69"/>
        <v>365</v>
      </c>
      <c r="K496" t="s">
        <v>658</v>
      </c>
      <c r="L496" t="s">
        <v>81</v>
      </c>
      <c r="M496" t="str">
        <f t="shared" si="68"/>
        <v>Stress</v>
      </c>
      <c r="N496" t="s">
        <v>469</v>
      </c>
      <c r="O496" t="str">
        <f t="shared" si="70"/>
        <v>Stress</v>
      </c>
      <c r="P496" t="s">
        <v>210</v>
      </c>
      <c r="Q496" t="s">
        <v>707</v>
      </c>
      <c r="R496" t="s">
        <v>408</v>
      </c>
      <c r="S496" t="s">
        <v>701</v>
      </c>
      <c r="T496" t="s">
        <v>695</v>
      </c>
      <c r="U496" t="s">
        <v>609</v>
      </c>
      <c r="V496" s="1" t="s">
        <v>774</v>
      </c>
      <c r="W496" s="1">
        <f>'[71]Calvo-Polanco_etal_2008_Fig4'!C14</f>
        <v>3.3873873873873799E-10</v>
      </c>
      <c r="X496" s="1"/>
      <c r="Y496" s="1"/>
      <c r="AF496" s="2">
        <f>'[72]Calvo-Polanco_etal_2008_Fig1ab'!C14</f>
        <v>2.6103444643421581</v>
      </c>
      <c r="AK496" t="s">
        <v>44</v>
      </c>
    </row>
    <row r="497" spans="1:37" hidden="1" x14ac:dyDescent="0.25">
      <c r="A497" t="s">
        <v>250</v>
      </c>
      <c r="B497" t="s">
        <v>251</v>
      </c>
      <c r="C497" t="s">
        <v>252</v>
      </c>
      <c r="D497" t="s">
        <v>253</v>
      </c>
      <c r="E497" t="s">
        <v>17</v>
      </c>
      <c r="F497" t="s">
        <v>69</v>
      </c>
      <c r="G497" t="s">
        <v>616</v>
      </c>
      <c r="H497" t="s">
        <v>760</v>
      </c>
      <c r="I497" t="s">
        <v>705</v>
      </c>
      <c r="J497">
        <f t="shared" si="69"/>
        <v>365</v>
      </c>
      <c r="K497" t="s">
        <v>658</v>
      </c>
      <c r="L497" t="s">
        <v>81</v>
      </c>
      <c r="M497" t="str">
        <f t="shared" si="68"/>
        <v>Stress</v>
      </c>
      <c r="N497" t="s">
        <v>469</v>
      </c>
      <c r="O497" t="str">
        <f t="shared" si="70"/>
        <v>Stress</v>
      </c>
      <c r="P497" t="s">
        <v>466</v>
      </c>
      <c r="Q497" t="s">
        <v>707</v>
      </c>
      <c r="R497" t="s">
        <v>408</v>
      </c>
      <c r="S497" t="s">
        <v>701</v>
      </c>
      <c r="T497" t="s">
        <v>695</v>
      </c>
      <c r="U497" t="s">
        <v>609</v>
      </c>
      <c r="V497" s="1" t="s">
        <v>774</v>
      </c>
      <c r="W497" s="1">
        <f>'[71]Calvo-Polanco_etal_2008_Fig4'!C15</f>
        <v>2.2822822822822803E-10</v>
      </c>
      <c r="X497" s="1"/>
      <c r="Y497" s="1"/>
      <c r="AF497" s="2">
        <f>'[72]Calvo-Polanco_etal_2008_Fig1ab'!C15</f>
        <v>2.3595269118973681</v>
      </c>
      <c r="AK497" t="s">
        <v>44</v>
      </c>
    </row>
    <row r="498" spans="1:37" hidden="1" x14ac:dyDescent="0.25">
      <c r="A498" t="s">
        <v>250</v>
      </c>
      <c r="B498" t="s">
        <v>251</v>
      </c>
      <c r="C498" t="s">
        <v>252</v>
      </c>
      <c r="D498" t="s">
        <v>253</v>
      </c>
      <c r="E498" t="s">
        <v>17</v>
      </c>
      <c r="F498" t="s">
        <v>69</v>
      </c>
      <c r="G498" t="s">
        <v>616</v>
      </c>
      <c r="H498" t="s">
        <v>760</v>
      </c>
      <c r="I498" t="s">
        <v>705</v>
      </c>
      <c r="J498">
        <f t="shared" si="69"/>
        <v>365</v>
      </c>
      <c r="K498" t="s">
        <v>658</v>
      </c>
      <c r="L498" t="s">
        <v>81</v>
      </c>
      <c r="M498" t="str">
        <f t="shared" si="68"/>
        <v>Stress</v>
      </c>
      <c r="N498" t="s">
        <v>469</v>
      </c>
      <c r="O498" t="str">
        <f t="shared" si="70"/>
        <v>Stress</v>
      </c>
      <c r="P498" t="s">
        <v>454</v>
      </c>
      <c r="Q498" t="s">
        <v>707</v>
      </c>
      <c r="R498" t="s">
        <v>408</v>
      </c>
      <c r="S498" t="s">
        <v>701</v>
      </c>
      <c r="T498" t="s">
        <v>695</v>
      </c>
      <c r="U498" t="s">
        <v>609</v>
      </c>
      <c r="V498" s="1" t="s">
        <v>774</v>
      </c>
      <c r="W498" s="1">
        <f>'[71]Calvo-Polanco_etal_2008_Fig4'!C16</f>
        <v>3.6276276276276302E-10</v>
      </c>
      <c r="X498" s="1"/>
      <c r="Y498" s="1"/>
      <c r="AF498" s="2">
        <f>'[72]Calvo-Polanco_etal_2008_Fig1ab'!C16</f>
        <v>2.4600930565497534</v>
      </c>
      <c r="AK498" t="s">
        <v>44</v>
      </c>
    </row>
    <row r="499" spans="1:37" hidden="1" x14ac:dyDescent="0.25">
      <c r="A499" t="s">
        <v>250</v>
      </c>
      <c r="B499" t="s">
        <v>251</v>
      </c>
      <c r="C499" t="s">
        <v>252</v>
      </c>
      <c r="D499" t="s">
        <v>253</v>
      </c>
      <c r="E499" t="s">
        <v>17</v>
      </c>
      <c r="F499" t="s">
        <v>69</v>
      </c>
      <c r="G499" t="s">
        <v>616</v>
      </c>
      <c r="H499" t="s">
        <v>760</v>
      </c>
      <c r="I499" t="s">
        <v>705</v>
      </c>
      <c r="J499">
        <f t="shared" si="69"/>
        <v>365</v>
      </c>
      <c r="K499" t="s">
        <v>658</v>
      </c>
      <c r="L499" t="s">
        <v>81</v>
      </c>
      <c r="M499" t="str">
        <f t="shared" si="68"/>
        <v>Stress</v>
      </c>
      <c r="N499" t="s">
        <v>469</v>
      </c>
      <c r="O499" t="str">
        <f t="shared" si="70"/>
        <v>Stress</v>
      </c>
      <c r="P499" t="s">
        <v>468</v>
      </c>
      <c r="Q499" t="s">
        <v>707</v>
      </c>
      <c r="R499" t="s">
        <v>408</v>
      </c>
      <c r="S499" t="s">
        <v>701</v>
      </c>
      <c r="T499" t="s">
        <v>695</v>
      </c>
      <c r="U499" t="s">
        <v>609</v>
      </c>
      <c r="V499" s="1" t="s">
        <v>774</v>
      </c>
      <c r="W499" s="1">
        <f>'[71]Calvo-Polanco_etal_2008_Fig4'!C17</f>
        <v>6.1501501501501502E-10</v>
      </c>
      <c r="X499" s="1"/>
      <c r="Y499" s="1"/>
      <c r="AF499" s="2">
        <f>'[72]Calvo-Polanco_etal_2008_Fig1ab'!C17</f>
        <v>2.4395016151361393</v>
      </c>
      <c r="AK499" t="s">
        <v>44</v>
      </c>
    </row>
    <row r="500" spans="1:37" hidden="1" x14ac:dyDescent="0.25">
      <c r="A500" t="s">
        <v>323</v>
      </c>
      <c r="B500" t="s">
        <v>32</v>
      </c>
      <c r="C500" t="s">
        <v>33</v>
      </c>
      <c r="D500" t="s">
        <v>34</v>
      </c>
      <c r="E500" t="s">
        <v>17</v>
      </c>
      <c r="F500" t="s">
        <v>614</v>
      </c>
      <c r="G500" t="s">
        <v>614</v>
      </c>
      <c r="H500" t="s">
        <v>801</v>
      </c>
      <c r="I500" t="s">
        <v>804</v>
      </c>
      <c r="J500">
        <v>19</v>
      </c>
      <c r="K500" t="s">
        <v>350</v>
      </c>
      <c r="L500" t="s">
        <v>36</v>
      </c>
      <c r="M500" t="str">
        <f t="shared" si="68"/>
        <v>Control</v>
      </c>
      <c r="R500" t="s">
        <v>408</v>
      </c>
      <c r="S500" t="s">
        <v>701</v>
      </c>
      <c r="T500" t="s">
        <v>695</v>
      </c>
      <c r="U500" t="s">
        <v>610</v>
      </c>
      <c r="V500" s="1"/>
      <c r="W500" s="1"/>
      <c r="X500" s="1"/>
      <c r="Y500" s="1">
        <f>[73]Thompson_etal_2007_Fig5!C2</f>
        <v>5.8362884160756392E-9</v>
      </c>
      <c r="AF500" s="2"/>
      <c r="AK500" t="s">
        <v>348</v>
      </c>
    </row>
    <row r="501" spans="1:37" hidden="1" x14ac:dyDescent="0.25">
      <c r="A501" t="s">
        <v>323</v>
      </c>
      <c r="B501" t="s">
        <v>32</v>
      </c>
      <c r="C501" t="s">
        <v>33</v>
      </c>
      <c r="D501" t="s">
        <v>34</v>
      </c>
      <c r="E501" t="s">
        <v>17</v>
      </c>
      <c r="F501" t="s">
        <v>614</v>
      </c>
      <c r="G501" t="s">
        <v>614</v>
      </c>
      <c r="H501" t="s">
        <v>801</v>
      </c>
      <c r="I501" t="s">
        <v>804</v>
      </c>
      <c r="J501">
        <v>19</v>
      </c>
      <c r="K501" t="s">
        <v>350</v>
      </c>
      <c r="L501" t="s">
        <v>461</v>
      </c>
      <c r="M501" t="str">
        <f t="shared" si="68"/>
        <v>Stress</v>
      </c>
      <c r="R501" t="s">
        <v>408</v>
      </c>
      <c r="S501" t="s">
        <v>701</v>
      </c>
      <c r="T501" t="s">
        <v>695</v>
      </c>
      <c r="U501" t="s">
        <v>610</v>
      </c>
      <c r="V501" s="1"/>
      <c r="W501" s="1"/>
      <c r="X501" s="1"/>
      <c r="Y501" s="1">
        <f>[73]Thompson_etal_2007_Fig5!C3</f>
        <v>1.019503546099289E-8</v>
      </c>
      <c r="AF501" s="2"/>
      <c r="AK501" t="s">
        <v>348</v>
      </c>
    </row>
    <row r="502" spans="1:37" hidden="1" x14ac:dyDescent="0.25">
      <c r="A502" t="s">
        <v>323</v>
      </c>
      <c r="B502" t="s">
        <v>32</v>
      </c>
      <c r="C502" t="s">
        <v>33</v>
      </c>
      <c r="D502" t="s">
        <v>34</v>
      </c>
      <c r="E502" t="s">
        <v>17</v>
      </c>
      <c r="F502" t="s">
        <v>614</v>
      </c>
      <c r="G502" t="s">
        <v>614</v>
      </c>
      <c r="H502" t="s">
        <v>801</v>
      </c>
      <c r="I502" t="s">
        <v>804</v>
      </c>
      <c r="J502">
        <v>19</v>
      </c>
      <c r="K502" t="s">
        <v>350</v>
      </c>
      <c r="L502" t="s">
        <v>461</v>
      </c>
      <c r="M502" t="str">
        <f t="shared" si="68"/>
        <v>Stress</v>
      </c>
      <c r="R502" t="s">
        <v>408</v>
      </c>
      <c r="S502" t="s">
        <v>701</v>
      </c>
      <c r="T502" t="s">
        <v>695</v>
      </c>
      <c r="U502" t="s">
        <v>610</v>
      </c>
      <c r="V502" s="1"/>
      <c r="W502" s="1"/>
      <c r="X502" s="1"/>
      <c r="Y502" s="1">
        <f>[73]Thompson_etal_2007_Fig5!C4</f>
        <v>2.2754137115839224E-8</v>
      </c>
      <c r="AF502" s="2"/>
      <c r="AK502" t="s">
        <v>348</v>
      </c>
    </row>
    <row r="503" spans="1:37" hidden="1" x14ac:dyDescent="0.25">
      <c r="A503" t="s">
        <v>323</v>
      </c>
      <c r="B503" t="s">
        <v>32</v>
      </c>
      <c r="C503" t="s">
        <v>33</v>
      </c>
      <c r="D503" t="s">
        <v>34</v>
      </c>
      <c r="E503" t="s">
        <v>17</v>
      </c>
      <c r="F503" t="s">
        <v>614</v>
      </c>
      <c r="G503" t="s">
        <v>614</v>
      </c>
      <c r="H503" t="s">
        <v>801</v>
      </c>
      <c r="I503" t="s">
        <v>804</v>
      </c>
      <c r="J503">
        <v>19</v>
      </c>
      <c r="K503" t="s">
        <v>350</v>
      </c>
      <c r="L503" t="s">
        <v>36</v>
      </c>
      <c r="M503" t="str">
        <f t="shared" si="68"/>
        <v>Control</v>
      </c>
      <c r="R503" t="s">
        <v>408</v>
      </c>
      <c r="S503" t="s">
        <v>701</v>
      </c>
      <c r="T503" t="s">
        <v>695</v>
      </c>
      <c r="U503" t="s">
        <v>610</v>
      </c>
      <c r="V503" s="1"/>
      <c r="W503" s="1"/>
      <c r="X503" s="1"/>
      <c r="Y503" s="1">
        <f>[73]Thompson_etal_2007_Fig5!C5</f>
        <v>1.1155437352245861E-8</v>
      </c>
      <c r="AF503" s="2"/>
      <c r="AK503" t="s">
        <v>348</v>
      </c>
    </row>
    <row r="504" spans="1:37" hidden="1" x14ac:dyDescent="0.25">
      <c r="A504" t="s">
        <v>323</v>
      </c>
      <c r="B504" t="s">
        <v>32</v>
      </c>
      <c r="C504" t="s">
        <v>33</v>
      </c>
      <c r="D504" t="s">
        <v>34</v>
      </c>
      <c r="E504" t="s">
        <v>17</v>
      </c>
      <c r="F504" t="s">
        <v>614</v>
      </c>
      <c r="G504" t="s">
        <v>614</v>
      </c>
      <c r="H504" t="s">
        <v>801</v>
      </c>
      <c r="I504" t="s">
        <v>804</v>
      </c>
      <c r="J504">
        <v>19</v>
      </c>
      <c r="K504" t="s">
        <v>350</v>
      </c>
      <c r="L504" t="s">
        <v>461</v>
      </c>
      <c r="M504" t="str">
        <f t="shared" si="68"/>
        <v>Stress</v>
      </c>
      <c r="R504" t="s">
        <v>408</v>
      </c>
      <c r="S504" t="s">
        <v>701</v>
      </c>
      <c r="T504" t="s">
        <v>695</v>
      </c>
      <c r="U504" t="s">
        <v>610</v>
      </c>
      <c r="V504" s="1"/>
      <c r="W504" s="1"/>
      <c r="X504" s="1"/>
      <c r="Y504" s="1">
        <f>[73]Thompson_etal_2007_Fig5!C6</f>
        <v>2.6152482269503553E-8</v>
      </c>
      <c r="AF504" s="2"/>
      <c r="AK504" t="s">
        <v>348</v>
      </c>
    </row>
    <row r="505" spans="1:37" hidden="1" x14ac:dyDescent="0.25">
      <c r="A505" t="s">
        <v>323</v>
      </c>
      <c r="B505" t="s">
        <v>32</v>
      </c>
      <c r="C505" t="s">
        <v>33</v>
      </c>
      <c r="D505" t="s">
        <v>34</v>
      </c>
      <c r="E505" t="s">
        <v>17</v>
      </c>
      <c r="F505" t="s">
        <v>614</v>
      </c>
      <c r="G505" t="s">
        <v>614</v>
      </c>
      <c r="H505" t="s">
        <v>801</v>
      </c>
      <c r="I505" t="s">
        <v>804</v>
      </c>
      <c r="J505">
        <v>19</v>
      </c>
      <c r="K505" t="s">
        <v>350</v>
      </c>
      <c r="L505" t="s">
        <v>461</v>
      </c>
      <c r="M505" t="str">
        <f t="shared" si="68"/>
        <v>Stress</v>
      </c>
      <c r="R505" t="s">
        <v>408</v>
      </c>
      <c r="S505" t="s">
        <v>701</v>
      </c>
      <c r="T505" t="s">
        <v>695</v>
      </c>
      <c r="U505" t="s">
        <v>610</v>
      </c>
      <c r="V505" s="1"/>
      <c r="W505" s="1"/>
      <c r="X505" s="1"/>
      <c r="Y505" s="1">
        <f>[73]Thompson_etal_2007_Fig5!C7</f>
        <v>3.5091607565011671E-8</v>
      </c>
      <c r="AF505" s="2"/>
      <c r="AK505" t="s">
        <v>348</v>
      </c>
    </row>
    <row r="506" spans="1:37" hidden="1" x14ac:dyDescent="0.25">
      <c r="A506" t="s">
        <v>710</v>
      </c>
      <c r="B506" t="s">
        <v>14</v>
      </c>
      <c r="C506" t="s">
        <v>15</v>
      </c>
      <c r="D506" t="s">
        <v>16</v>
      </c>
      <c r="E506" t="s">
        <v>17</v>
      </c>
      <c r="F506" t="s">
        <v>18</v>
      </c>
      <c r="G506" t="s">
        <v>18</v>
      </c>
      <c r="H506" t="s">
        <v>18</v>
      </c>
      <c r="I506" t="s">
        <v>704</v>
      </c>
      <c r="J506">
        <f>'[74]Ruggiero&amp;Angelino_2007_Fig2'!A2</f>
        <v>93</v>
      </c>
      <c r="K506" t="s">
        <v>711</v>
      </c>
      <c r="L506" t="s">
        <v>36</v>
      </c>
      <c r="M506" t="str">
        <f t="shared" si="68"/>
        <v>Control</v>
      </c>
      <c r="N506" t="s">
        <v>36</v>
      </c>
      <c r="O506" t="str">
        <f t="shared" ref="O506:O517" si="71">+IF(N506="Control","Control","Stress")</f>
        <v>Control</v>
      </c>
      <c r="R506" t="s">
        <v>408</v>
      </c>
      <c r="S506" t="s">
        <v>701</v>
      </c>
      <c r="T506" t="s">
        <v>695</v>
      </c>
      <c r="U506" t="s">
        <v>609</v>
      </c>
      <c r="V506" s="1" t="s">
        <v>733</v>
      </c>
      <c r="W506" s="1">
        <f t="shared" ref="W506:W513" si="72">+AB506*AD506/10000</f>
        <v>4.9057274841370517E-9</v>
      </c>
      <c r="X506" s="1"/>
      <c r="Y506" s="1"/>
      <c r="AB506" s="1">
        <f>'[74]Ruggiero&amp;Angelino_2007_Fig2'!B2</f>
        <v>2.1087231352717999E-8</v>
      </c>
      <c r="AD506" s="3">
        <f>'[75]Ruggiero&amp;Angelino_2007_Fig1'!$B$2</f>
        <v>2326.39714625445</v>
      </c>
      <c r="AF506" s="2"/>
      <c r="AK506" t="s">
        <v>199</v>
      </c>
    </row>
    <row r="507" spans="1:37" hidden="1" x14ac:dyDescent="0.25">
      <c r="A507" t="s">
        <v>710</v>
      </c>
      <c r="B507" t="s">
        <v>14</v>
      </c>
      <c r="C507" t="s">
        <v>15</v>
      </c>
      <c r="D507" t="s">
        <v>16</v>
      </c>
      <c r="E507" t="s">
        <v>17</v>
      </c>
      <c r="F507" t="s">
        <v>18</v>
      </c>
      <c r="G507" t="s">
        <v>18</v>
      </c>
      <c r="H507" t="s">
        <v>18</v>
      </c>
      <c r="I507" t="s">
        <v>704</v>
      </c>
      <c r="J507">
        <f>'[74]Ruggiero&amp;Angelino_2007_Fig2'!A3</f>
        <v>93</v>
      </c>
      <c r="K507" t="s">
        <v>711</v>
      </c>
      <c r="L507" t="s">
        <v>703</v>
      </c>
      <c r="M507" t="str">
        <f t="shared" si="68"/>
        <v>Stress</v>
      </c>
      <c r="N507" t="s">
        <v>36</v>
      </c>
      <c r="O507" t="str">
        <f t="shared" si="71"/>
        <v>Control</v>
      </c>
      <c r="R507" t="s">
        <v>408</v>
      </c>
      <c r="S507" t="s">
        <v>701</v>
      </c>
      <c r="T507" t="s">
        <v>695</v>
      </c>
      <c r="U507" t="s">
        <v>609</v>
      </c>
      <c r="V507" s="1" t="s">
        <v>733</v>
      </c>
      <c r="W507" s="1">
        <f t="shared" si="72"/>
        <v>3.376363999873695E-9</v>
      </c>
      <c r="X507" s="1"/>
      <c r="Y507" s="1"/>
      <c r="AB507" s="1">
        <f>'[74]Ruggiero&amp;Angelino_2007_Fig2'!B3</f>
        <v>1.45132743362831E-8</v>
      </c>
      <c r="AD507" s="3">
        <f>+AD506</f>
        <v>2326.39714625445</v>
      </c>
      <c r="AF507" s="2"/>
      <c r="AK507" t="s">
        <v>199</v>
      </c>
    </row>
    <row r="508" spans="1:37" hidden="1" x14ac:dyDescent="0.25">
      <c r="A508" t="s">
        <v>710</v>
      </c>
      <c r="B508" t="s">
        <v>14</v>
      </c>
      <c r="C508" t="s">
        <v>15</v>
      </c>
      <c r="D508" t="s">
        <v>16</v>
      </c>
      <c r="E508" t="s">
        <v>17</v>
      </c>
      <c r="F508" t="s">
        <v>18</v>
      </c>
      <c r="G508" t="s">
        <v>18</v>
      </c>
      <c r="H508" t="s">
        <v>18</v>
      </c>
      <c r="I508" t="s">
        <v>704</v>
      </c>
      <c r="J508">
        <f>'[74]Ruggiero&amp;Angelino_2007_Fig2'!A4</f>
        <v>93</v>
      </c>
      <c r="K508" t="s">
        <v>711</v>
      </c>
      <c r="L508" t="s">
        <v>36</v>
      </c>
      <c r="M508" t="str">
        <f t="shared" si="68"/>
        <v>Control</v>
      </c>
      <c r="N508" t="s">
        <v>712</v>
      </c>
      <c r="O508" t="str">
        <f t="shared" si="71"/>
        <v>Stress</v>
      </c>
      <c r="R508" t="s">
        <v>408</v>
      </c>
      <c r="S508" t="s">
        <v>701</v>
      </c>
      <c r="T508" t="s">
        <v>695</v>
      </c>
      <c r="U508" t="s">
        <v>609</v>
      </c>
      <c r="V508" s="1" t="s">
        <v>733</v>
      </c>
      <c r="W508" s="1">
        <f t="shared" si="72"/>
        <v>2.8123914850630716E-9</v>
      </c>
      <c r="X508" s="1"/>
      <c r="Y508" s="1"/>
      <c r="AB508" s="1">
        <f>'[74]Ruggiero&amp;Angelino_2007_Fig2'!B4</f>
        <v>1.4917825537294501E-8</v>
      </c>
      <c r="AD508" s="3">
        <f>'[75]Ruggiero&amp;Angelino_2007_Fig1'!$B$3</f>
        <v>1885.2556480380499</v>
      </c>
      <c r="AF508" s="2"/>
      <c r="AK508" t="s">
        <v>199</v>
      </c>
    </row>
    <row r="509" spans="1:37" hidden="1" x14ac:dyDescent="0.25">
      <c r="A509" t="s">
        <v>710</v>
      </c>
      <c r="B509" t="s">
        <v>14</v>
      </c>
      <c r="C509" t="s">
        <v>15</v>
      </c>
      <c r="D509" t="s">
        <v>16</v>
      </c>
      <c r="E509" t="s">
        <v>17</v>
      </c>
      <c r="F509" t="s">
        <v>18</v>
      </c>
      <c r="G509" t="s">
        <v>18</v>
      </c>
      <c r="H509" t="s">
        <v>18</v>
      </c>
      <c r="I509" t="s">
        <v>704</v>
      </c>
      <c r="J509">
        <f>'[74]Ruggiero&amp;Angelino_2007_Fig2'!A5</f>
        <v>93</v>
      </c>
      <c r="K509" t="s">
        <v>711</v>
      </c>
      <c r="L509" t="s">
        <v>703</v>
      </c>
      <c r="M509" t="str">
        <f t="shared" si="68"/>
        <v>Stress</v>
      </c>
      <c r="N509" t="s">
        <v>712</v>
      </c>
      <c r="O509" t="str">
        <f t="shared" si="71"/>
        <v>Stress</v>
      </c>
      <c r="R509" t="s">
        <v>408</v>
      </c>
      <c r="S509" t="s">
        <v>701</v>
      </c>
      <c r="T509" t="s">
        <v>695</v>
      </c>
      <c r="U509" t="s">
        <v>609</v>
      </c>
      <c r="V509" s="1" t="s">
        <v>733</v>
      </c>
      <c r="W509" s="1">
        <f t="shared" si="72"/>
        <v>1.573032525543758E-9</v>
      </c>
      <c r="X509" s="1"/>
      <c r="Y509" s="1"/>
      <c r="AB509" s="1">
        <f>'[74]Ruggiero&amp;Angelino_2007_Fig2'!B5</f>
        <v>8.3438685208596699E-9</v>
      </c>
      <c r="AD509" s="3">
        <f>+AD508</f>
        <v>1885.2556480380499</v>
      </c>
      <c r="AF509" s="2"/>
      <c r="AK509" t="s">
        <v>199</v>
      </c>
    </row>
    <row r="510" spans="1:37" hidden="1" x14ac:dyDescent="0.25">
      <c r="A510" t="s">
        <v>710</v>
      </c>
      <c r="B510" t="s">
        <v>14</v>
      </c>
      <c r="C510" t="s">
        <v>15</v>
      </c>
      <c r="D510" t="s">
        <v>16</v>
      </c>
      <c r="E510" t="s">
        <v>17</v>
      </c>
      <c r="F510" t="s">
        <v>18</v>
      </c>
      <c r="G510" t="s">
        <v>18</v>
      </c>
      <c r="H510" t="s">
        <v>18</v>
      </c>
      <c r="I510" t="s">
        <v>704</v>
      </c>
      <c r="J510">
        <f>'[74]Ruggiero&amp;Angelino_2007_Fig2'!A6</f>
        <v>114</v>
      </c>
      <c r="K510" t="s">
        <v>711</v>
      </c>
      <c r="L510" t="s">
        <v>36</v>
      </c>
      <c r="M510" t="str">
        <f t="shared" ref="M510:M540" si="73">+IF(L510 = "Control", "Control", "Stress")</f>
        <v>Control</v>
      </c>
      <c r="N510" t="s">
        <v>36</v>
      </c>
      <c r="O510" t="str">
        <f t="shared" si="71"/>
        <v>Control</v>
      </c>
      <c r="R510" t="s">
        <v>408</v>
      </c>
      <c r="S510" t="s">
        <v>701</v>
      </c>
      <c r="T510" t="s">
        <v>695</v>
      </c>
      <c r="U510" t="s">
        <v>609</v>
      </c>
      <c r="V510" s="1" t="s">
        <v>733</v>
      </c>
      <c r="W510" s="1">
        <f t="shared" si="72"/>
        <v>9.5603632422421477E-9</v>
      </c>
      <c r="X510" s="1"/>
      <c r="Y510" s="1"/>
      <c r="AB510" s="1">
        <f>'[74]Ruggiero&amp;Angelino_2007_Fig2'!B6</f>
        <v>3.4134007585335003E-8</v>
      </c>
      <c r="AD510" s="3">
        <f>'[75]Ruggiero&amp;Angelino_2007_Fig1'!$B$4</f>
        <v>2800.8323424494602</v>
      </c>
      <c r="AF510" s="2"/>
      <c r="AK510" t="s">
        <v>199</v>
      </c>
    </row>
    <row r="511" spans="1:37" hidden="1" x14ac:dyDescent="0.25">
      <c r="A511" t="s">
        <v>710</v>
      </c>
      <c r="B511" t="s">
        <v>14</v>
      </c>
      <c r="C511" t="s">
        <v>15</v>
      </c>
      <c r="D511" t="s">
        <v>16</v>
      </c>
      <c r="E511" t="s">
        <v>17</v>
      </c>
      <c r="F511" t="s">
        <v>18</v>
      </c>
      <c r="G511" t="s">
        <v>18</v>
      </c>
      <c r="H511" t="s">
        <v>18</v>
      </c>
      <c r="I511" t="s">
        <v>704</v>
      </c>
      <c r="J511">
        <f>'[74]Ruggiero&amp;Angelino_2007_Fig2'!A7</f>
        <v>114</v>
      </c>
      <c r="K511" t="s">
        <v>711</v>
      </c>
      <c r="L511" t="s">
        <v>703</v>
      </c>
      <c r="M511" t="str">
        <f t="shared" si="73"/>
        <v>Stress</v>
      </c>
      <c r="N511" t="s">
        <v>36</v>
      </c>
      <c r="O511" t="str">
        <f t="shared" si="71"/>
        <v>Control</v>
      </c>
      <c r="R511" t="s">
        <v>408</v>
      </c>
      <c r="S511" t="s">
        <v>701</v>
      </c>
      <c r="T511" t="s">
        <v>695</v>
      </c>
      <c r="U511" t="s">
        <v>609</v>
      </c>
      <c r="V511" s="1" t="s">
        <v>733</v>
      </c>
      <c r="W511" s="1">
        <f t="shared" si="72"/>
        <v>6.104468973935334E-9</v>
      </c>
      <c r="X511" s="1"/>
      <c r="Y511" s="1"/>
      <c r="AB511" s="1">
        <f>'[74]Ruggiero&amp;Angelino_2007_Fig2'!B7</f>
        <v>2.1795195954487901E-8</v>
      </c>
      <c r="AD511" s="3">
        <f>+AD510</f>
        <v>2800.8323424494602</v>
      </c>
      <c r="AF511" s="2"/>
      <c r="AK511" t="s">
        <v>199</v>
      </c>
    </row>
    <row r="512" spans="1:37" hidden="1" x14ac:dyDescent="0.25">
      <c r="A512" t="s">
        <v>710</v>
      </c>
      <c r="B512" t="s">
        <v>14</v>
      </c>
      <c r="C512" t="s">
        <v>15</v>
      </c>
      <c r="D512" t="s">
        <v>16</v>
      </c>
      <c r="E512" t="s">
        <v>17</v>
      </c>
      <c r="F512" t="s">
        <v>18</v>
      </c>
      <c r="G512" t="s">
        <v>18</v>
      </c>
      <c r="H512" t="s">
        <v>18</v>
      </c>
      <c r="I512" t="s">
        <v>704</v>
      </c>
      <c r="J512">
        <f>'[74]Ruggiero&amp;Angelino_2007_Fig2'!A8</f>
        <v>114</v>
      </c>
      <c r="K512" t="s">
        <v>711</v>
      </c>
      <c r="L512" t="s">
        <v>36</v>
      </c>
      <c r="M512" t="str">
        <f t="shared" si="73"/>
        <v>Control</v>
      </c>
      <c r="N512" t="s">
        <v>712</v>
      </c>
      <c r="O512" t="str">
        <f t="shared" si="71"/>
        <v>Stress</v>
      </c>
      <c r="R512" t="s">
        <v>408</v>
      </c>
      <c r="S512" t="s">
        <v>701</v>
      </c>
      <c r="T512" t="s">
        <v>695</v>
      </c>
      <c r="U512" t="s">
        <v>609</v>
      </c>
      <c r="V512" s="1" t="s">
        <v>733</v>
      </c>
      <c r="W512" s="1">
        <f t="shared" si="72"/>
        <v>2.438837035556044E-9</v>
      </c>
      <c r="X512" s="1"/>
      <c r="Y512" s="1"/>
      <c r="AB512" s="1">
        <f>'[74]Ruggiero&amp;Angelino_2007_Fig2'!B8</f>
        <v>1.08723135271807E-8</v>
      </c>
      <c r="AD512" s="3">
        <f>'[75]Ruggiero&amp;Angelino_2007_Fig1'!$B$5</f>
        <v>2243.1629013079601</v>
      </c>
      <c r="AF512" s="2"/>
      <c r="AK512" t="s">
        <v>199</v>
      </c>
    </row>
    <row r="513" spans="1:37" hidden="1" x14ac:dyDescent="0.25">
      <c r="A513" t="s">
        <v>710</v>
      </c>
      <c r="B513" t="s">
        <v>14</v>
      </c>
      <c r="C513" t="s">
        <v>15</v>
      </c>
      <c r="D513" t="s">
        <v>16</v>
      </c>
      <c r="E513" t="s">
        <v>17</v>
      </c>
      <c r="F513" t="s">
        <v>18</v>
      </c>
      <c r="G513" t="s">
        <v>18</v>
      </c>
      <c r="H513" t="s">
        <v>18</v>
      </c>
      <c r="I513" t="s">
        <v>704</v>
      </c>
      <c r="J513">
        <f>'[74]Ruggiero&amp;Angelino_2007_Fig2'!A9</f>
        <v>114</v>
      </c>
      <c r="K513" t="s">
        <v>711</v>
      </c>
      <c r="L513" t="s">
        <v>703</v>
      </c>
      <c r="M513" t="str">
        <f t="shared" si="73"/>
        <v>Stress</v>
      </c>
      <c r="N513" t="s">
        <v>712</v>
      </c>
      <c r="O513" t="str">
        <f t="shared" si="71"/>
        <v>Stress</v>
      </c>
      <c r="R513" t="s">
        <v>408</v>
      </c>
      <c r="S513" t="s">
        <v>701</v>
      </c>
      <c r="T513" t="s">
        <v>695</v>
      </c>
      <c r="U513" t="s">
        <v>609</v>
      </c>
      <c r="V513" s="1" t="s">
        <v>733</v>
      </c>
      <c r="W513" s="1">
        <f t="shared" si="72"/>
        <v>2.3707764671219286E-9</v>
      </c>
      <c r="X513" s="1"/>
      <c r="Y513" s="1"/>
      <c r="AB513" s="1">
        <f>'[74]Ruggiero&amp;Angelino_2007_Fig2'!B9</f>
        <v>1.05689001264222E-8</v>
      </c>
      <c r="AD513" s="3">
        <f>+AD512</f>
        <v>2243.1629013079601</v>
      </c>
      <c r="AF513" s="2"/>
      <c r="AK513" t="s">
        <v>199</v>
      </c>
    </row>
    <row r="514" spans="1:37" hidden="1" x14ac:dyDescent="0.25">
      <c r="A514" t="s">
        <v>710</v>
      </c>
      <c r="B514" t="s">
        <v>102</v>
      </c>
      <c r="C514" t="s">
        <v>75</v>
      </c>
      <c r="D514" t="s">
        <v>16</v>
      </c>
      <c r="E514" t="s">
        <v>17</v>
      </c>
      <c r="F514" t="s">
        <v>18</v>
      </c>
      <c r="G514" t="s">
        <v>18</v>
      </c>
      <c r="H514" t="s">
        <v>18</v>
      </c>
      <c r="I514" t="s">
        <v>704</v>
      </c>
      <c r="J514">
        <f>'[74]Ruggiero&amp;Angelino_2007_Fig2'!A10</f>
        <v>107</v>
      </c>
      <c r="K514" t="s">
        <v>711</v>
      </c>
      <c r="L514" t="s">
        <v>36</v>
      </c>
      <c r="M514" t="str">
        <f t="shared" si="73"/>
        <v>Control</v>
      </c>
      <c r="N514" t="s">
        <v>36</v>
      </c>
      <c r="O514" t="str">
        <f t="shared" si="71"/>
        <v>Control</v>
      </c>
      <c r="R514" t="s">
        <v>408</v>
      </c>
      <c r="S514" t="s">
        <v>701</v>
      </c>
      <c r="T514" t="s">
        <v>695</v>
      </c>
      <c r="U514" t="s">
        <v>609</v>
      </c>
      <c r="V514" s="1"/>
      <c r="W514" s="1"/>
      <c r="X514" s="1"/>
      <c r="Y514" s="1"/>
      <c r="AB514" s="1">
        <f>'[74]Ruggiero&amp;Angelino_2007_Fig2'!B10</f>
        <v>1.40573318632855E-8</v>
      </c>
      <c r="AD514" s="3"/>
      <c r="AF514" s="2"/>
      <c r="AK514" t="s">
        <v>199</v>
      </c>
    </row>
    <row r="515" spans="1:37" hidden="1" x14ac:dyDescent="0.25">
      <c r="A515" t="s">
        <v>710</v>
      </c>
      <c r="B515" t="s">
        <v>102</v>
      </c>
      <c r="C515" t="s">
        <v>75</v>
      </c>
      <c r="D515" t="s">
        <v>16</v>
      </c>
      <c r="E515" t="s">
        <v>17</v>
      </c>
      <c r="F515" t="s">
        <v>18</v>
      </c>
      <c r="G515" t="s">
        <v>18</v>
      </c>
      <c r="H515" t="s">
        <v>18</v>
      </c>
      <c r="I515" t="s">
        <v>704</v>
      </c>
      <c r="J515">
        <f>'[74]Ruggiero&amp;Angelino_2007_Fig2'!A11</f>
        <v>107</v>
      </c>
      <c r="K515" t="s">
        <v>711</v>
      </c>
      <c r="L515" t="s">
        <v>703</v>
      </c>
      <c r="M515" t="str">
        <f t="shared" si="73"/>
        <v>Stress</v>
      </c>
      <c r="N515" t="s">
        <v>36</v>
      </c>
      <c r="O515" t="str">
        <f t="shared" si="71"/>
        <v>Control</v>
      </c>
      <c r="R515" t="s">
        <v>408</v>
      </c>
      <c r="S515" t="s">
        <v>701</v>
      </c>
      <c r="T515" t="s">
        <v>695</v>
      </c>
      <c r="U515" t="s">
        <v>609</v>
      </c>
      <c r="V515" s="1"/>
      <c r="W515" s="1"/>
      <c r="X515" s="1"/>
      <c r="Y515" s="1"/>
      <c r="AB515" s="1">
        <f>'[74]Ruggiero&amp;Angelino_2007_Fig2'!B11</f>
        <v>7.8280044101433192E-9</v>
      </c>
      <c r="AD515" s="3"/>
      <c r="AF515" s="2"/>
      <c r="AK515" t="s">
        <v>199</v>
      </c>
    </row>
    <row r="516" spans="1:37" hidden="1" x14ac:dyDescent="0.25">
      <c r="A516" t="s">
        <v>710</v>
      </c>
      <c r="B516" t="s">
        <v>102</v>
      </c>
      <c r="C516" t="s">
        <v>75</v>
      </c>
      <c r="D516" t="s">
        <v>16</v>
      </c>
      <c r="E516" t="s">
        <v>17</v>
      </c>
      <c r="F516" t="s">
        <v>18</v>
      </c>
      <c r="G516" t="s">
        <v>18</v>
      </c>
      <c r="H516" t="s">
        <v>18</v>
      </c>
      <c r="I516" t="s">
        <v>704</v>
      </c>
      <c r="J516">
        <f>'[74]Ruggiero&amp;Angelino_2007_Fig2'!A12</f>
        <v>107</v>
      </c>
      <c r="K516" t="s">
        <v>711</v>
      </c>
      <c r="L516" t="s">
        <v>36</v>
      </c>
      <c r="M516" t="str">
        <f t="shared" si="73"/>
        <v>Control</v>
      </c>
      <c r="N516" t="s">
        <v>712</v>
      </c>
      <c r="O516" t="str">
        <f t="shared" si="71"/>
        <v>Stress</v>
      </c>
      <c r="R516" t="s">
        <v>408</v>
      </c>
      <c r="S516" t="s">
        <v>701</v>
      </c>
      <c r="T516" t="s">
        <v>695</v>
      </c>
      <c r="U516" t="s">
        <v>609</v>
      </c>
      <c r="V516" s="1"/>
      <c r="W516" s="1"/>
      <c r="X516" s="1"/>
      <c r="Y516" s="1"/>
      <c r="AB516" s="1">
        <f>'[74]Ruggiero&amp;Angelino_2007_Fig2'!B12</f>
        <v>4.0242557883131099E-9</v>
      </c>
      <c r="AD516" s="3"/>
      <c r="AF516" s="2"/>
      <c r="AK516" t="s">
        <v>199</v>
      </c>
    </row>
    <row r="517" spans="1:37" hidden="1" x14ac:dyDescent="0.25">
      <c r="A517" t="s">
        <v>710</v>
      </c>
      <c r="B517" t="s">
        <v>102</v>
      </c>
      <c r="C517" t="s">
        <v>75</v>
      </c>
      <c r="D517" t="s">
        <v>16</v>
      </c>
      <c r="E517" t="s">
        <v>17</v>
      </c>
      <c r="F517" t="s">
        <v>18</v>
      </c>
      <c r="G517" t="s">
        <v>18</v>
      </c>
      <c r="H517" t="s">
        <v>18</v>
      </c>
      <c r="I517" t="s">
        <v>704</v>
      </c>
      <c r="J517">
        <f>'[74]Ruggiero&amp;Angelino_2007_Fig2'!A13</f>
        <v>107</v>
      </c>
      <c r="K517" t="s">
        <v>711</v>
      </c>
      <c r="L517" t="s">
        <v>703</v>
      </c>
      <c r="M517" t="str">
        <f t="shared" si="73"/>
        <v>Stress</v>
      </c>
      <c r="N517" t="s">
        <v>712</v>
      </c>
      <c r="O517" t="str">
        <f t="shared" si="71"/>
        <v>Stress</v>
      </c>
      <c r="R517" t="s">
        <v>408</v>
      </c>
      <c r="S517" t="s">
        <v>701</v>
      </c>
      <c r="T517" t="s">
        <v>695</v>
      </c>
      <c r="U517" t="s">
        <v>609</v>
      </c>
      <c r="V517" s="1"/>
      <c r="W517" s="1"/>
      <c r="X517" s="1"/>
      <c r="Y517" s="1"/>
      <c r="AB517" s="1">
        <f>'[74]Ruggiero&amp;Angelino_2007_Fig2'!B13</f>
        <v>2.5358324145534701E-9</v>
      </c>
      <c r="AD517" s="3"/>
      <c r="AF517" s="2"/>
      <c r="AK517" t="s">
        <v>199</v>
      </c>
    </row>
    <row r="518" spans="1:37" hidden="1" x14ac:dyDescent="0.25">
      <c r="A518" t="s">
        <v>92</v>
      </c>
      <c r="B518" t="s">
        <v>63</v>
      </c>
      <c r="C518" t="s">
        <v>64</v>
      </c>
      <c r="D518" t="s">
        <v>65</v>
      </c>
      <c r="E518" t="s">
        <v>17</v>
      </c>
      <c r="F518" t="s">
        <v>614</v>
      </c>
      <c r="G518" t="s">
        <v>614</v>
      </c>
      <c r="H518" t="s">
        <v>801</v>
      </c>
      <c r="I518" t="s">
        <v>804</v>
      </c>
      <c r="J518">
        <f>+AVERAGE(6,9)*7</f>
        <v>52.5</v>
      </c>
      <c r="K518" t="s">
        <v>93</v>
      </c>
      <c r="L518" t="s">
        <v>36</v>
      </c>
      <c r="M518" t="str">
        <f t="shared" si="73"/>
        <v>Control</v>
      </c>
      <c r="R518" t="s">
        <v>408</v>
      </c>
      <c r="S518" t="s">
        <v>701</v>
      </c>
      <c r="T518" t="s">
        <v>695</v>
      </c>
      <c r="U518" t="s">
        <v>609</v>
      </c>
      <c r="V518" s="1"/>
      <c r="W518" s="1"/>
      <c r="X518" s="1">
        <f>0.00000084/3600</f>
        <v>2.3333333333333335E-10</v>
      </c>
      <c r="Y518" s="1"/>
      <c r="Z518" s="1"/>
      <c r="AA518" s="1"/>
      <c r="AF518" s="2"/>
      <c r="AG518" s="2"/>
      <c r="AK518" t="s">
        <v>199</v>
      </c>
    </row>
    <row r="519" spans="1:37" hidden="1" x14ac:dyDescent="0.25">
      <c r="A519" t="s">
        <v>94</v>
      </c>
      <c r="B519" t="s">
        <v>95</v>
      </c>
      <c r="C519" t="s">
        <v>96</v>
      </c>
      <c r="D519" t="s">
        <v>89</v>
      </c>
      <c r="E519" t="s">
        <v>17</v>
      </c>
      <c r="F519" t="s">
        <v>618</v>
      </c>
      <c r="G519" t="s">
        <v>618</v>
      </c>
      <c r="H519" t="s">
        <v>801</v>
      </c>
      <c r="I519" t="s">
        <v>804</v>
      </c>
      <c r="K519" t="s">
        <v>402</v>
      </c>
      <c r="L519" t="s">
        <v>36</v>
      </c>
      <c r="M519" t="str">
        <f t="shared" si="73"/>
        <v>Control</v>
      </c>
      <c r="R519" t="s">
        <v>408</v>
      </c>
      <c r="S519" t="s">
        <v>701</v>
      </c>
      <c r="T519" t="s">
        <v>695</v>
      </c>
      <c r="U519" t="s">
        <v>609</v>
      </c>
      <c r="V519" s="1"/>
      <c r="W519" s="1"/>
      <c r="X519" s="1"/>
      <c r="Y519" s="1">
        <f>[76]Beaudette_etal_2007_Fig2!C2</f>
        <v>1.2784302759134966E-8</v>
      </c>
      <c r="Z519" s="1"/>
      <c r="AA519" s="1"/>
      <c r="AF519" s="2"/>
      <c r="AG519" s="2"/>
      <c r="AK519" t="s">
        <v>199</v>
      </c>
    </row>
    <row r="520" spans="1:37" hidden="1" x14ac:dyDescent="0.25">
      <c r="A520" t="s">
        <v>94</v>
      </c>
      <c r="B520" t="s">
        <v>95</v>
      </c>
      <c r="C520" t="s">
        <v>96</v>
      </c>
      <c r="D520" t="s">
        <v>89</v>
      </c>
      <c r="E520" t="s">
        <v>17</v>
      </c>
      <c r="F520" t="s">
        <v>618</v>
      </c>
      <c r="G520" t="s">
        <v>618</v>
      </c>
      <c r="H520" t="s">
        <v>801</v>
      </c>
      <c r="I520" t="s">
        <v>804</v>
      </c>
      <c r="K520" t="s">
        <v>402</v>
      </c>
      <c r="L520" t="s">
        <v>703</v>
      </c>
      <c r="M520" t="str">
        <f t="shared" si="73"/>
        <v>Stress</v>
      </c>
      <c r="R520" t="s">
        <v>408</v>
      </c>
      <c r="S520" t="s">
        <v>701</v>
      </c>
      <c r="T520" t="s">
        <v>695</v>
      </c>
      <c r="U520" t="s">
        <v>609</v>
      </c>
      <c r="V520" s="1"/>
      <c r="W520" s="1"/>
      <c r="X520" s="1"/>
      <c r="Y520" s="1">
        <f>[76]Beaudette_etal_2007_Fig2!C3</f>
        <v>6.2981605766840494E-9</v>
      </c>
      <c r="Z520" s="1"/>
      <c r="AA520" s="1"/>
      <c r="AF520" s="2"/>
      <c r="AG520" s="2"/>
      <c r="AK520" t="s">
        <v>199</v>
      </c>
    </row>
    <row r="521" spans="1:37" hidden="1" x14ac:dyDescent="0.25">
      <c r="A521" t="s">
        <v>94</v>
      </c>
      <c r="B521" t="s">
        <v>95</v>
      </c>
      <c r="C521" t="s">
        <v>96</v>
      </c>
      <c r="D521" t="s">
        <v>89</v>
      </c>
      <c r="E521" t="s">
        <v>17</v>
      </c>
      <c r="F521" t="s">
        <v>618</v>
      </c>
      <c r="G521" t="s">
        <v>618</v>
      </c>
      <c r="H521" t="s">
        <v>801</v>
      </c>
      <c r="I521" t="s">
        <v>804</v>
      </c>
      <c r="K521" t="s">
        <v>402</v>
      </c>
      <c r="L521" t="s">
        <v>703</v>
      </c>
      <c r="M521" t="str">
        <f t="shared" si="73"/>
        <v>Stress</v>
      </c>
      <c r="R521" t="s">
        <v>408</v>
      </c>
      <c r="S521" t="s">
        <v>701</v>
      </c>
      <c r="T521" t="s">
        <v>695</v>
      </c>
      <c r="U521" t="s">
        <v>609</v>
      </c>
      <c r="V521" s="1"/>
      <c r="W521" s="1"/>
      <c r="X521" s="1"/>
      <c r="Y521" s="1">
        <f>[76]Beaudette_etal_2007_Fig2!C4</f>
        <v>6.7253914988814166E-9</v>
      </c>
      <c r="Z521" s="1"/>
      <c r="AA521" s="1"/>
      <c r="AF521" s="2"/>
      <c r="AG521" s="2"/>
      <c r="AK521" t="s">
        <v>199</v>
      </c>
    </row>
    <row r="522" spans="1:37" hidden="1" x14ac:dyDescent="0.25">
      <c r="A522" t="s">
        <v>94</v>
      </c>
      <c r="B522" t="s">
        <v>95</v>
      </c>
      <c r="C522" t="s">
        <v>96</v>
      </c>
      <c r="D522" t="s">
        <v>89</v>
      </c>
      <c r="E522" t="s">
        <v>17</v>
      </c>
      <c r="F522" t="s">
        <v>618</v>
      </c>
      <c r="G522" t="s">
        <v>618</v>
      </c>
      <c r="H522" t="s">
        <v>801</v>
      </c>
      <c r="I522" t="s">
        <v>804</v>
      </c>
      <c r="K522" t="s">
        <v>402</v>
      </c>
      <c r="L522" t="s">
        <v>703</v>
      </c>
      <c r="M522" t="str">
        <f t="shared" si="73"/>
        <v>Stress</v>
      </c>
      <c r="R522" t="s">
        <v>408</v>
      </c>
      <c r="S522" t="s">
        <v>701</v>
      </c>
      <c r="T522" t="s">
        <v>695</v>
      </c>
      <c r="U522" t="s">
        <v>609</v>
      </c>
      <c r="V522" s="1"/>
      <c r="W522" s="1"/>
      <c r="X522" s="1"/>
      <c r="Y522" s="1">
        <f>[76]Beaudette_etal_2007_Fig2!C5</f>
        <v>8.3566368381804502E-9</v>
      </c>
      <c r="Z522" s="1"/>
      <c r="AA522" s="1"/>
      <c r="AF522" s="2"/>
      <c r="AG522" s="2"/>
      <c r="AK522" t="s">
        <v>199</v>
      </c>
    </row>
    <row r="523" spans="1:37" hidden="1" x14ac:dyDescent="0.25">
      <c r="A523" t="s">
        <v>94</v>
      </c>
      <c r="B523" t="s">
        <v>95</v>
      </c>
      <c r="C523" t="s">
        <v>96</v>
      </c>
      <c r="D523" t="s">
        <v>89</v>
      </c>
      <c r="E523" t="s">
        <v>17</v>
      </c>
      <c r="F523" t="s">
        <v>618</v>
      </c>
      <c r="G523" t="s">
        <v>618</v>
      </c>
      <c r="H523" t="s">
        <v>801</v>
      </c>
      <c r="I523" t="s">
        <v>804</v>
      </c>
      <c r="K523" t="s">
        <v>350</v>
      </c>
      <c r="L523" t="s">
        <v>36</v>
      </c>
      <c r="M523" t="str">
        <f t="shared" si="73"/>
        <v>Control</v>
      </c>
      <c r="R523" t="s">
        <v>408</v>
      </c>
      <c r="S523" t="s">
        <v>701</v>
      </c>
      <c r="T523" t="s">
        <v>695</v>
      </c>
      <c r="U523" t="s">
        <v>609</v>
      </c>
      <c r="V523" s="1"/>
      <c r="W523" s="1"/>
      <c r="X523" s="1"/>
      <c r="Y523" s="1">
        <f>[77]Beaudette_etal_2007_Fig3!$C$2</f>
        <v>1.1748844375963016E-8</v>
      </c>
      <c r="Z523" s="1">
        <f>10*0.000000001</f>
        <v>1E-8</v>
      </c>
      <c r="AA523" s="1"/>
      <c r="AF523" s="2"/>
      <c r="AG523" s="2"/>
      <c r="AK523" t="s">
        <v>199</v>
      </c>
    </row>
    <row r="524" spans="1:37" hidden="1" x14ac:dyDescent="0.25">
      <c r="A524" t="s">
        <v>94</v>
      </c>
      <c r="B524" t="s">
        <v>95</v>
      </c>
      <c r="C524" t="s">
        <v>96</v>
      </c>
      <c r="D524" t="s">
        <v>89</v>
      </c>
      <c r="E524" t="s">
        <v>17</v>
      </c>
      <c r="F524" t="s">
        <v>618</v>
      </c>
      <c r="G524" t="s">
        <v>618</v>
      </c>
      <c r="H524" t="s">
        <v>801</v>
      </c>
      <c r="I524" t="s">
        <v>804</v>
      </c>
      <c r="K524" t="s">
        <v>350</v>
      </c>
      <c r="L524" t="s">
        <v>470</v>
      </c>
      <c r="M524" t="str">
        <f t="shared" si="73"/>
        <v>Stress</v>
      </c>
      <c r="R524" t="s">
        <v>408</v>
      </c>
      <c r="S524" t="s">
        <v>701</v>
      </c>
      <c r="T524" t="s">
        <v>695</v>
      </c>
      <c r="U524" t="s">
        <v>609</v>
      </c>
      <c r="V524" s="1"/>
      <c r="W524" s="1"/>
      <c r="X524" s="1"/>
      <c r="Y524" s="1">
        <f>[77]Beaudette_etal_2007_Fig3!C4</f>
        <v>1.4702105803800717E-8</v>
      </c>
      <c r="Z524" s="1"/>
      <c r="AA524" s="1"/>
      <c r="AF524" s="2"/>
      <c r="AG524" s="2"/>
      <c r="AK524" t="s">
        <v>199</v>
      </c>
    </row>
    <row r="525" spans="1:37" hidden="1" x14ac:dyDescent="0.25">
      <c r="A525" t="s">
        <v>94</v>
      </c>
      <c r="B525" t="s">
        <v>95</v>
      </c>
      <c r="C525" t="s">
        <v>96</v>
      </c>
      <c r="D525" t="s">
        <v>89</v>
      </c>
      <c r="E525" t="s">
        <v>17</v>
      </c>
      <c r="F525" t="s">
        <v>618</v>
      </c>
      <c r="G525" t="s">
        <v>618</v>
      </c>
      <c r="H525" t="s">
        <v>801</v>
      </c>
      <c r="I525" t="s">
        <v>804</v>
      </c>
      <c r="K525" t="s">
        <v>350</v>
      </c>
      <c r="L525" t="s">
        <v>471</v>
      </c>
      <c r="M525" t="str">
        <f t="shared" si="73"/>
        <v>Stress</v>
      </c>
      <c r="R525" t="s">
        <v>408</v>
      </c>
      <c r="S525" t="s">
        <v>701</v>
      </c>
      <c r="T525" t="s">
        <v>695</v>
      </c>
      <c r="U525" t="s">
        <v>609</v>
      </c>
      <c r="V525" s="1"/>
      <c r="W525" s="1"/>
      <c r="X525" s="1"/>
      <c r="Y525" s="1">
        <f>[77]Beaudette_etal_2007_Fig3!C5</f>
        <v>2.8826399589111333E-8</v>
      </c>
      <c r="Z525" s="1"/>
      <c r="AA525" s="1"/>
      <c r="AF525" s="2"/>
      <c r="AG525" s="2"/>
      <c r="AK525" t="s">
        <v>199</v>
      </c>
    </row>
    <row r="526" spans="1:37" hidden="1" x14ac:dyDescent="0.25">
      <c r="A526" t="s">
        <v>94</v>
      </c>
      <c r="B526" t="s">
        <v>95</v>
      </c>
      <c r="C526" t="s">
        <v>96</v>
      </c>
      <c r="D526" t="s">
        <v>89</v>
      </c>
      <c r="E526" t="s">
        <v>17</v>
      </c>
      <c r="F526" t="s">
        <v>618</v>
      </c>
      <c r="G526" t="s">
        <v>618</v>
      </c>
      <c r="H526" t="s">
        <v>801</v>
      </c>
      <c r="I526" t="s">
        <v>804</v>
      </c>
      <c r="K526" t="s">
        <v>350</v>
      </c>
      <c r="L526" t="s">
        <v>472</v>
      </c>
      <c r="M526" t="str">
        <f t="shared" si="73"/>
        <v>Stress</v>
      </c>
      <c r="R526" t="s">
        <v>408</v>
      </c>
      <c r="S526" t="s">
        <v>701</v>
      </c>
      <c r="T526" t="s">
        <v>695</v>
      </c>
      <c r="U526" t="s">
        <v>609</v>
      </c>
      <c r="V526" s="1"/>
      <c r="W526" s="1"/>
      <c r="X526" s="1"/>
      <c r="Y526" s="1">
        <f>[77]Beaudette_etal_2007_Fig3!C6</f>
        <v>6.8695428864920334E-9</v>
      </c>
      <c r="Z526" s="1"/>
      <c r="AA526" s="1"/>
      <c r="AF526" s="2"/>
      <c r="AG526" s="2"/>
      <c r="AK526" t="s">
        <v>199</v>
      </c>
    </row>
    <row r="527" spans="1:37" hidden="1" x14ac:dyDescent="0.25">
      <c r="A527" t="s">
        <v>379</v>
      </c>
      <c r="B527" t="s">
        <v>50</v>
      </c>
      <c r="C527" t="s">
        <v>51</v>
      </c>
      <c r="D527" t="s">
        <v>16</v>
      </c>
      <c r="E527" t="s">
        <v>29</v>
      </c>
      <c r="F527" t="s">
        <v>30</v>
      </c>
      <c r="G527" t="s">
        <v>30</v>
      </c>
      <c r="H527" t="s">
        <v>30</v>
      </c>
      <c r="I527" t="s">
        <v>704</v>
      </c>
      <c r="J527">
        <v>15</v>
      </c>
      <c r="K527" t="s">
        <v>592</v>
      </c>
      <c r="L527" t="s">
        <v>48</v>
      </c>
      <c r="M527" t="str">
        <f t="shared" si="73"/>
        <v>Stress</v>
      </c>
      <c r="N527" t="s">
        <v>36</v>
      </c>
      <c r="O527" t="str">
        <f t="shared" ref="O527:O532" si="74">+IF(N527="Control","Control","Stress")</f>
        <v>Control</v>
      </c>
      <c r="R527" t="s">
        <v>408</v>
      </c>
      <c r="S527" t="s">
        <v>701</v>
      </c>
      <c r="T527" t="s">
        <v>695</v>
      </c>
      <c r="U527" t="s">
        <v>609</v>
      </c>
      <c r="V527" s="1"/>
      <c r="W527" s="1"/>
      <c r="X527" s="1"/>
      <c r="Z527" s="1"/>
      <c r="AA527" s="1"/>
      <c r="AB527" s="1">
        <f>[78]Mu_eatl_2006_Fig1b!B2</f>
        <v>4.1393548387096701E-7</v>
      </c>
      <c r="AF527" s="2"/>
      <c r="AG527" s="2"/>
      <c r="AK527" t="s">
        <v>199</v>
      </c>
    </row>
    <row r="528" spans="1:37" hidden="1" x14ac:dyDescent="0.25">
      <c r="A528" t="s">
        <v>379</v>
      </c>
      <c r="B528" t="s">
        <v>50</v>
      </c>
      <c r="C528" t="s">
        <v>51</v>
      </c>
      <c r="D528" t="s">
        <v>16</v>
      </c>
      <c r="E528" t="s">
        <v>29</v>
      </c>
      <c r="F528" t="s">
        <v>30</v>
      </c>
      <c r="G528" t="s">
        <v>30</v>
      </c>
      <c r="H528" t="s">
        <v>30</v>
      </c>
      <c r="I528" t="s">
        <v>704</v>
      </c>
      <c r="J528">
        <v>15</v>
      </c>
      <c r="K528" t="s">
        <v>592</v>
      </c>
      <c r="L528" t="s">
        <v>48</v>
      </c>
      <c r="M528" t="str">
        <f t="shared" si="73"/>
        <v>Stress</v>
      </c>
      <c r="N528" t="s">
        <v>380</v>
      </c>
      <c r="O528" t="str">
        <f t="shared" si="74"/>
        <v>Stress</v>
      </c>
      <c r="R528" t="s">
        <v>408</v>
      </c>
      <c r="S528" t="s">
        <v>701</v>
      </c>
      <c r="T528" t="s">
        <v>695</v>
      </c>
      <c r="U528" t="s">
        <v>609</v>
      </c>
      <c r="V528" s="1"/>
      <c r="W528" s="1"/>
      <c r="X528" s="1"/>
      <c r="Z528" s="1"/>
      <c r="AA528" s="1"/>
      <c r="AB528" s="1">
        <f>[78]Mu_eatl_2006_Fig1b!B3</f>
        <v>3.3961290322580602E-7</v>
      </c>
      <c r="AF528" s="2"/>
      <c r="AG528" s="2"/>
      <c r="AK528" t="s">
        <v>199</v>
      </c>
    </row>
    <row r="529" spans="1:37" hidden="1" x14ac:dyDescent="0.25">
      <c r="A529" t="s">
        <v>379</v>
      </c>
      <c r="B529" t="s">
        <v>50</v>
      </c>
      <c r="C529" t="s">
        <v>51</v>
      </c>
      <c r="D529" t="s">
        <v>16</v>
      </c>
      <c r="E529" t="s">
        <v>29</v>
      </c>
      <c r="F529" t="s">
        <v>30</v>
      </c>
      <c r="G529" t="s">
        <v>30</v>
      </c>
      <c r="H529" t="s">
        <v>30</v>
      </c>
      <c r="I529" t="s">
        <v>704</v>
      </c>
      <c r="J529">
        <v>15</v>
      </c>
      <c r="K529" t="s">
        <v>592</v>
      </c>
      <c r="L529" t="s">
        <v>48</v>
      </c>
      <c r="M529" t="str">
        <f t="shared" si="73"/>
        <v>Stress</v>
      </c>
      <c r="N529" t="s">
        <v>381</v>
      </c>
      <c r="O529" t="str">
        <f t="shared" si="74"/>
        <v>Stress</v>
      </c>
      <c r="R529" t="s">
        <v>408</v>
      </c>
      <c r="S529" t="s">
        <v>701</v>
      </c>
      <c r="T529" t="s">
        <v>695</v>
      </c>
      <c r="U529" t="s">
        <v>609</v>
      </c>
      <c r="V529" s="1"/>
      <c r="W529" s="1"/>
      <c r="X529" s="1"/>
      <c r="Z529" s="1"/>
      <c r="AA529" s="1"/>
      <c r="AB529" s="1">
        <f>[78]Mu_eatl_2006_Fig1b!B4</f>
        <v>1.02193548387096E-7</v>
      </c>
      <c r="AF529" s="2"/>
      <c r="AG529" s="2"/>
      <c r="AK529" t="s">
        <v>199</v>
      </c>
    </row>
    <row r="530" spans="1:37" hidden="1" x14ac:dyDescent="0.25">
      <c r="A530" t="s">
        <v>379</v>
      </c>
      <c r="B530" t="s">
        <v>50</v>
      </c>
      <c r="C530" t="s">
        <v>51</v>
      </c>
      <c r="D530" t="s">
        <v>16</v>
      </c>
      <c r="E530" t="s">
        <v>29</v>
      </c>
      <c r="F530" t="s">
        <v>30</v>
      </c>
      <c r="G530" t="s">
        <v>30</v>
      </c>
      <c r="H530" t="s">
        <v>30</v>
      </c>
      <c r="I530" t="s">
        <v>704</v>
      </c>
      <c r="J530">
        <v>15</v>
      </c>
      <c r="K530" t="s">
        <v>592</v>
      </c>
      <c r="L530" t="s">
        <v>36</v>
      </c>
      <c r="M530" t="str">
        <f t="shared" si="73"/>
        <v>Control</v>
      </c>
      <c r="N530" t="s">
        <v>36</v>
      </c>
      <c r="O530" t="str">
        <f t="shared" si="74"/>
        <v>Control</v>
      </c>
      <c r="R530" t="s">
        <v>408</v>
      </c>
      <c r="S530" t="s">
        <v>701</v>
      </c>
      <c r="T530" t="s">
        <v>695</v>
      </c>
      <c r="U530" t="s">
        <v>609</v>
      </c>
      <c r="V530" s="1"/>
      <c r="W530" s="1"/>
      <c r="X530" s="1"/>
      <c r="Z530" s="1"/>
      <c r="AA530" s="1"/>
      <c r="AB530" s="1">
        <f>[78]Mu_eatl_2006_Fig1b!B5</f>
        <v>6.4412903225806401E-7</v>
      </c>
      <c r="AF530" s="2"/>
      <c r="AG530" s="2"/>
      <c r="AK530" t="s">
        <v>199</v>
      </c>
    </row>
    <row r="531" spans="1:37" hidden="1" x14ac:dyDescent="0.25">
      <c r="A531" t="s">
        <v>379</v>
      </c>
      <c r="B531" t="s">
        <v>50</v>
      </c>
      <c r="C531" t="s">
        <v>51</v>
      </c>
      <c r="D531" t="s">
        <v>16</v>
      </c>
      <c r="E531" t="s">
        <v>29</v>
      </c>
      <c r="F531" t="s">
        <v>30</v>
      </c>
      <c r="G531" t="s">
        <v>30</v>
      </c>
      <c r="H531" t="s">
        <v>30</v>
      </c>
      <c r="I531" t="s">
        <v>704</v>
      </c>
      <c r="J531">
        <v>15</v>
      </c>
      <c r="K531" t="s">
        <v>592</v>
      </c>
      <c r="L531" t="s">
        <v>36</v>
      </c>
      <c r="M531" t="str">
        <f t="shared" si="73"/>
        <v>Control</v>
      </c>
      <c r="N531" t="s">
        <v>380</v>
      </c>
      <c r="O531" t="str">
        <f t="shared" si="74"/>
        <v>Stress</v>
      </c>
      <c r="R531" t="s">
        <v>408</v>
      </c>
      <c r="S531" t="s">
        <v>701</v>
      </c>
      <c r="T531" t="s">
        <v>695</v>
      </c>
      <c r="U531" t="s">
        <v>609</v>
      </c>
      <c r="V531" s="1"/>
      <c r="W531" s="1"/>
      <c r="X531" s="1"/>
      <c r="Z531" s="1"/>
      <c r="AA531" s="1"/>
      <c r="AB531" s="1">
        <f>[78]Mu_eatl_2006_Fig1b!B6</f>
        <v>4.4283870967741898E-7</v>
      </c>
      <c r="AF531" s="2"/>
      <c r="AG531" s="2"/>
      <c r="AK531" t="s">
        <v>199</v>
      </c>
    </row>
    <row r="532" spans="1:37" hidden="1" x14ac:dyDescent="0.25">
      <c r="A532" t="s">
        <v>379</v>
      </c>
      <c r="B532" t="s">
        <v>50</v>
      </c>
      <c r="C532" t="s">
        <v>51</v>
      </c>
      <c r="D532" t="s">
        <v>16</v>
      </c>
      <c r="E532" t="s">
        <v>29</v>
      </c>
      <c r="F532" t="s">
        <v>30</v>
      </c>
      <c r="G532" t="s">
        <v>30</v>
      </c>
      <c r="H532" t="s">
        <v>30</v>
      </c>
      <c r="I532" t="s">
        <v>704</v>
      </c>
      <c r="J532">
        <v>15</v>
      </c>
      <c r="K532" t="s">
        <v>592</v>
      </c>
      <c r="L532" t="s">
        <v>36</v>
      </c>
      <c r="M532" t="str">
        <f t="shared" si="73"/>
        <v>Control</v>
      </c>
      <c r="N532" t="s">
        <v>381</v>
      </c>
      <c r="O532" t="str">
        <f t="shared" si="74"/>
        <v>Stress</v>
      </c>
      <c r="R532" t="s">
        <v>408</v>
      </c>
      <c r="S532" t="s">
        <v>701</v>
      </c>
      <c r="T532" t="s">
        <v>695</v>
      </c>
      <c r="U532" t="s">
        <v>609</v>
      </c>
      <c r="V532" s="1"/>
      <c r="W532" s="1"/>
      <c r="X532" s="1"/>
      <c r="Z532" s="1"/>
      <c r="AA532" s="1"/>
      <c r="AB532" s="1">
        <f>[78]Mu_eatl_2006_Fig1b!B7</f>
        <v>2.36387096774193E-7</v>
      </c>
      <c r="AF532" s="2"/>
      <c r="AG532" s="2"/>
      <c r="AK532" t="s">
        <v>199</v>
      </c>
    </row>
    <row r="533" spans="1:37" hidden="1" x14ac:dyDescent="0.25">
      <c r="A533" t="s">
        <v>531</v>
      </c>
      <c r="B533" t="s">
        <v>533</v>
      </c>
      <c r="C533" t="s">
        <v>15</v>
      </c>
      <c r="D533" t="s">
        <v>16</v>
      </c>
      <c r="E533" t="s">
        <v>17</v>
      </c>
      <c r="F533" t="s">
        <v>18</v>
      </c>
      <c r="G533" t="s">
        <v>18</v>
      </c>
      <c r="H533" t="s">
        <v>18</v>
      </c>
      <c r="I533" t="s">
        <v>704</v>
      </c>
      <c r="J533">
        <f t="shared" ref="J533:J540" si="75">15+AVERAGE(21,27)</f>
        <v>39</v>
      </c>
      <c r="K533" t="s">
        <v>659</v>
      </c>
      <c r="L533" t="s">
        <v>36</v>
      </c>
      <c r="M533" t="str">
        <f t="shared" si="73"/>
        <v>Control</v>
      </c>
      <c r="R533" t="s">
        <v>408</v>
      </c>
      <c r="S533" t="s">
        <v>701</v>
      </c>
      <c r="T533" t="s">
        <v>695</v>
      </c>
      <c r="U533" t="s">
        <v>609</v>
      </c>
      <c r="V533" s="1" t="s">
        <v>733</v>
      </c>
      <c r="W533" s="1">
        <f t="shared" ref="W533:W540" si="76">+AB533*AD533/10000</f>
        <v>4.0000000000000007E-10</v>
      </c>
      <c r="X533" s="1"/>
      <c r="Z533" s="1"/>
      <c r="AA533" s="1"/>
      <c r="AB533" s="1">
        <v>8.0000000000000005E-9</v>
      </c>
      <c r="AD533">
        <v>500</v>
      </c>
      <c r="AF533" s="2"/>
      <c r="AG533" s="2"/>
      <c r="AK533" t="s">
        <v>199</v>
      </c>
    </row>
    <row r="534" spans="1:37" hidden="1" x14ac:dyDescent="0.25">
      <c r="A534" t="s">
        <v>531</v>
      </c>
      <c r="B534" t="s">
        <v>533</v>
      </c>
      <c r="C534" t="s">
        <v>15</v>
      </c>
      <c r="D534" t="s">
        <v>16</v>
      </c>
      <c r="E534" t="s">
        <v>17</v>
      </c>
      <c r="F534" t="s">
        <v>18</v>
      </c>
      <c r="G534" t="s">
        <v>18</v>
      </c>
      <c r="H534" t="s">
        <v>18</v>
      </c>
      <c r="I534" t="s">
        <v>704</v>
      </c>
      <c r="J534">
        <f t="shared" si="75"/>
        <v>39</v>
      </c>
      <c r="K534" t="s">
        <v>659</v>
      </c>
      <c r="L534" t="s">
        <v>532</v>
      </c>
      <c r="M534" t="str">
        <f t="shared" si="73"/>
        <v>Stress</v>
      </c>
      <c r="R534" t="s">
        <v>408</v>
      </c>
      <c r="S534" t="s">
        <v>701</v>
      </c>
      <c r="T534" t="s">
        <v>695</v>
      </c>
      <c r="U534" t="s">
        <v>609</v>
      </c>
      <c r="V534" s="1" t="s">
        <v>733</v>
      </c>
      <c r="W534" s="1">
        <f t="shared" si="76"/>
        <v>7.200000000000001E-10</v>
      </c>
      <c r="X534" s="1"/>
      <c r="Z534" s="1"/>
      <c r="AA534" s="1"/>
      <c r="AB534" s="1">
        <v>8.0000000000000005E-9</v>
      </c>
      <c r="AD534">
        <v>900</v>
      </c>
      <c r="AF534" s="2"/>
      <c r="AG534" s="2"/>
      <c r="AK534" t="s">
        <v>199</v>
      </c>
    </row>
    <row r="535" spans="1:37" hidden="1" x14ac:dyDescent="0.25">
      <c r="A535" t="s">
        <v>531</v>
      </c>
      <c r="B535" t="s">
        <v>102</v>
      </c>
      <c r="C535" t="s">
        <v>75</v>
      </c>
      <c r="D535" t="s">
        <v>16</v>
      </c>
      <c r="E535" t="s">
        <v>17</v>
      </c>
      <c r="F535" t="s">
        <v>18</v>
      </c>
      <c r="G535" t="s">
        <v>18</v>
      </c>
      <c r="H535" t="s">
        <v>18</v>
      </c>
      <c r="I535" t="s">
        <v>704</v>
      </c>
      <c r="J535">
        <f t="shared" si="75"/>
        <v>39</v>
      </c>
      <c r="K535" t="s">
        <v>659</v>
      </c>
      <c r="L535" t="s">
        <v>36</v>
      </c>
      <c r="M535" t="str">
        <f t="shared" si="73"/>
        <v>Control</v>
      </c>
      <c r="R535" t="s">
        <v>408</v>
      </c>
      <c r="S535" t="s">
        <v>701</v>
      </c>
      <c r="T535" t="s">
        <v>695</v>
      </c>
      <c r="U535" t="s">
        <v>609</v>
      </c>
      <c r="V535" s="1" t="s">
        <v>733</v>
      </c>
      <c r="W535" s="1">
        <f t="shared" si="76"/>
        <v>3.3800000000000003E-9</v>
      </c>
      <c r="X535" s="1"/>
      <c r="Z535" s="1"/>
      <c r="AA535" s="1"/>
      <c r="AB535" s="1">
        <v>2.6000000000000001E-8</v>
      </c>
      <c r="AD535">
        <v>1300</v>
      </c>
      <c r="AF535" s="2"/>
      <c r="AG535" s="2"/>
      <c r="AK535" t="s">
        <v>199</v>
      </c>
    </row>
    <row r="536" spans="1:37" hidden="1" x14ac:dyDescent="0.25">
      <c r="A536" t="s">
        <v>531</v>
      </c>
      <c r="B536" t="s">
        <v>102</v>
      </c>
      <c r="C536" t="s">
        <v>75</v>
      </c>
      <c r="D536" t="s">
        <v>16</v>
      </c>
      <c r="E536" t="s">
        <v>17</v>
      </c>
      <c r="F536" t="s">
        <v>18</v>
      </c>
      <c r="G536" t="s">
        <v>18</v>
      </c>
      <c r="H536" t="s">
        <v>18</v>
      </c>
      <c r="I536" t="s">
        <v>704</v>
      </c>
      <c r="J536">
        <f t="shared" si="75"/>
        <v>39</v>
      </c>
      <c r="K536" t="s">
        <v>659</v>
      </c>
      <c r="L536" t="s">
        <v>532</v>
      </c>
      <c r="M536" t="str">
        <f t="shared" si="73"/>
        <v>Stress</v>
      </c>
      <c r="R536" t="s">
        <v>408</v>
      </c>
      <c r="S536" t="s">
        <v>701</v>
      </c>
      <c r="T536" t="s">
        <v>695</v>
      </c>
      <c r="U536" t="s">
        <v>609</v>
      </c>
      <c r="V536" s="1" t="s">
        <v>733</v>
      </c>
      <c r="W536" s="1">
        <f t="shared" si="76"/>
        <v>3.8400000000000008E-9</v>
      </c>
      <c r="X536" s="1"/>
      <c r="Z536" s="1"/>
      <c r="AA536" s="1"/>
      <c r="AB536" s="1">
        <v>6.4000000000000004E-8</v>
      </c>
      <c r="AD536">
        <v>600</v>
      </c>
      <c r="AF536" s="2"/>
      <c r="AG536" s="2"/>
      <c r="AK536" t="s">
        <v>199</v>
      </c>
    </row>
    <row r="537" spans="1:37" hidden="1" x14ac:dyDescent="0.25">
      <c r="A537" t="s">
        <v>531</v>
      </c>
      <c r="B537" t="s">
        <v>533</v>
      </c>
      <c r="C537" t="s">
        <v>15</v>
      </c>
      <c r="D537" t="s">
        <v>16</v>
      </c>
      <c r="E537" t="s">
        <v>17</v>
      </c>
      <c r="F537" t="s">
        <v>18</v>
      </c>
      <c r="G537" t="s">
        <v>18</v>
      </c>
      <c r="H537" t="s">
        <v>18</v>
      </c>
      <c r="I537" t="s">
        <v>704</v>
      </c>
      <c r="J537">
        <f t="shared" si="75"/>
        <v>39</v>
      </c>
      <c r="K537" t="s">
        <v>659</v>
      </c>
      <c r="L537" t="s">
        <v>36</v>
      </c>
      <c r="M537" t="str">
        <f t="shared" si="73"/>
        <v>Control</v>
      </c>
      <c r="R537" t="s">
        <v>408</v>
      </c>
      <c r="S537" t="s">
        <v>701</v>
      </c>
      <c r="T537" t="s">
        <v>695</v>
      </c>
      <c r="U537" t="s">
        <v>610</v>
      </c>
      <c r="V537" s="1" t="s">
        <v>733</v>
      </c>
      <c r="W537" s="1">
        <f t="shared" si="76"/>
        <v>4.0000000000000007E-10</v>
      </c>
      <c r="X537" s="1"/>
      <c r="Z537" s="1"/>
      <c r="AA537" s="1"/>
      <c r="AB537" s="1">
        <v>8.0000000000000005E-9</v>
      </c>
      <c r="AD537">
        <v>500</v>
      </c>
      <c r="AF537" s="2"/>
      <c r="AG537" s="2"/>
      <c r="AK537" t="s">
        <v>348</v>
      </c>
    </row>
    <row r="538" spans="1:37" hidden="1" x14ac:dyDescent="0.25">
      <c r="A538" t="s">
        <v>531</v>
      </c>
      <c r="B538" t="s">
        <v>533</v>
      </c>
      <c r="C538" t="s">
        <v>15</v>
      </c>
      <c r="D538" t="s">
        <v>16</v>
      </c>
      <c r="E538" t="s">
        <v>17</v>
      </c>
      <c r="F538" t="s">
        <v>18</v>
      </c>
      <c r="G538" t="s">
        <v>18</v>
      </c>
      <c r="H538" t="s">
        <v>18</v>
      </c>
      <c r="I538" t="s">
        <v>704</v>
      </c>
      <c r="J538">
        <f t="shared" si="75"/>
        <v>39</v>
      </c>
      <c r="K538" t="s">
        <v>659</v>
      </c>
      <c r="L538" t="s">
        <v>532</v>
      </c>
      <c r="M538" t="str">
        <f t="shared" si="73"/>
        <v>Stress</v>
      </c>
      <c r="R538" t="s">
        <v>408</v>
      </c>
      <c r="S538" t="s">
        <v>701</v>
      </c>
      <c r="T538" t="s">
        <v>695</v>
      </c>
      <c r="U538" t="s">
        <v>610</v>
      </c>
      <c r="V538" s="1" t="s">
        <v>733</v>
      </c>
      <c r="W538" s="1">
        <f t="shared" si="76"/>
        <v>7.200000000000001E-10</v>
      </c>
      <c r="X538" s="1"/>
      <c r="Z538" s="1"/>
      <c r="AA538" s="1"/>
      <c r="AB538" s="1">
        <v>8.0000000000000005E-9</v>
      </c>
      <c r="AD538">
        <v>900</v>
      </c>
      <c r="AF538" s="2"/>
      <c r="AG538" s="2"/>
      <c r="AK538" t="s">
        <v>348</v>
      </c>
    </row>
    <row r="539" spans="1:37" hidden="1" x14ac:dyDescent="0.25">
      <c r="A539" t="s">
        <v>531</v>
      </c>
      <c r="B539" t="s">
        <v>102</v>
      </c>
      <c r="C539" t="s">
        <v>75</v>
      </c>
      <c r="D539" t="s">
        <v>16</v>
      </c>
      <c r="E539" t="s">
        <v>17</v>
      </c>
      <c r="F539" t="s">
        <v>18</v>
      </c>
      <c r="G539" t="s">
        <v>18</v>
      </c>
      <c r="H539" t="s">
        <v>18</v>
      </c>
      <c r="I539" t="s">
        <v>704</v>
      </c>
      <c r="J539">
        <f t="shared" si="75"/>
        <v>39</v>
      </c>
      <c r="K539" t="s">
        <v>659</v>
      </c>
      <c r="L539" t="s">
        <v>36</v>
      </c>
      <c r="M539" t="str">
        <f t="shared" si="73"/>
        <v>Control</v>
      </c>
      <c r="R539" t="s">
        <v>408</v>
      </c>
      <c r="S539" t="s">
        <v>701</v>
      </c>
      <c r="T539" t="s">
        <v>695</v>
      </c>
      <c r="U539" t="s">
        <v>610</v>
      </c>
      <c r="V539" s="1" t="s">
        <v>733</v>
      </c>
      <c r="W539" s="1">
        <f t="shared" si="76"/>
        <v>1.4300000000000002E-9</v>
      </c>
      <c r="X539" s="1"/>
      <c r="Z539" s="1"/>
      <c r="AA539" s="1"/>
      <c r="AB539" s="1">
        <v>1.1000000000000001E-8</v>
      </c>
      <c r="AD539">
        <v>1300</v>
      </c>
      <c r="AF539" s="2"/>
      <c r="AG539" s="2"/>
      <c r="AK539" t="s">
        <v>348</v>
      </c>
    </row>
    <row r="540" spans="1:37" hidden="1" x14ac:dyDescent="0.25">
      <c r="A540" t="s">
        <v>531</v>
      </c>
      <c r="B540" t="s">
        <v>102</v>
      </c>
      <c r="C540" t="s">
        <v>75</v>
      </c>
      <c r="D540" t="s">
        <v>16</v>
      </c>
      <c r="E540" t="s">
        <v>17</v>
      </c>
      <c r="F540" t="s">
        <v>18</v>
      </c>
      <c r="G540" t="s">
        <v>18</v>
      </c>
      <c r="H540" t="s">
        <v>18</v>
      </c>
      <c r="I540" t="s">
        <v>704</v>
      </c>
      <c r="J540">
        <f t="shared" si="75"/>
        <v>39</v>
      </c>
      <c r="K540" t="s">
        <v>659</v>
      </c>
      <c r="L540" t="s">
        <v>532</v>
      </c>
      <c r="M540" t="str">
        <f t="shared" si="73"/>
        <v>Stress</v>
      </c>
      <c r="R540" t="s">
        <v>408</v>
      </c>
      <c r="S540" t="s">
        <v>701</v>
      </c>
      <c r="T540" t="s">
        <v>695</v>
      </c>
      <c r="U540" t="s">
        <v>610</v>
      </c>
      <c r="V540" s="1" t="s">
        <v>733</v>
      </c>
      <c r="W540" s="1">
        <f t="shared" si="76"/>
        <v>1.14E-9</v>
      </c>
      <c r="X540" s="1"/>
      <c r="Z540" s="1"/>
      <c r="AA540" s="1"/>
      <c r="AB540" s="1">
        <v>1.8999999999999998E-8</v>
      </c>
      <c r="AD540">
        <v>600</v>
      </c>
      <c r="AF540" s="2"/>
      <c r="AG540" s="2"/>
      <c r="AK540" t="s">
        <v>348</v>
      </c>
    </row>
    <row r="541" spans="1:37" hidden="1" x14ac:dyDescent="0.25">
      <c r="A541" t="s">
        <v>514</v>
      </c>
      <c r="B541" t="s">
        <v>516</v>
      </c>
      <c r="C541" t="s">
        <v>174</v>
      </c>
      <c r="D541" t="s">
        <v>175</v>
      </c>
      <c r="E541" t="s">
        <v>17</v>
      </c>
      <c r="F541" t="s">
        <v>69</v>
      </c>
      <c r="G541" t="s">
        <v>616</v>
      </c>
      <c r="H541" t="s">
        <v>760</v>
      </c>
      <c r="I541" t="s">
        <v>705</v>
      </c>
      <c r="J541">
        <f t="shared" ref="J541:J558" si="77">+AVERAGE(5,30)*30</f>
        <v>525</v>
      </c>
      <c r="K541" t="s">
        <v>751</v>
      </c>
      <c r="L541" t="s">
        <v>515</v>
      </c>
      <c r="M541" t="s">
        <v>707</v>
      </c>
      <c r="R541" t="s">
        <v>408</v>
      </c>
      <c r="S541" t="s">
        <v>701</v>
      </c>
      <c r="T541" t="s">
        <v>695</v>
      </c>
      <c r="U541" t="s">
        <v>609</v>
      </c>
      <c r="V541" s="1"/>
      <c r="W541" s="1"/>
      <c r="X541" s="1"/>
      <c r="Y541">
        <v>4.5100000000000005E-10</v>
      </c>
      <c r="Z541" s="1"/>
      <c r="AA541" s="1"/>
      <c r="AF541" s="2"/>
      <c r="AG541" s="2"/>
      <c r="AK541" t="s">
        <v>44</v>
      </c>
    </row>
    <row r="542" spans="1:37" hidden="1" x14ac:dyDescent="0.25">
      <c r="A542" t="s">
        <v>514</v>
      </c>
      <c r="B542" t="s">
        <v>517</v>
      </c>
      <c r="C542" t="s">
        <v>363</v>
      </c>
      <c r="D542" t="s">
        <v>249</v>
      </c>
      <c r="E542" t="s">
        <v>17</v>
      </c>
      <c r="F542" t="s">
        <v>126</v>
      </c>
      <c r="G542" t="s">
        <v>616</v>
      </c>
      <c r="H542" t="s">
        <v>760</v>
      </c>
      <c r="I542" t="s">
        <v>705</v>
      </c>
      <c r="J542">
        <f t="shared" si="77"/>
        <v>525</v>
      </c>
      <c r="K542" t="s">
        <v>751</v>
      </c>
      <c r="L542" t="s">
        <v>515</v>
      </c>
      <c r="M542" t="s">
        <v>707</v>
      </c>
      <c r="R542" t="s">
        <v>408</v>
      </c>
      <c r="S542" t="s">
        <v>701</v>
      </c>
      <c r="T542" t="s">
        <v>695</v>
      </c>
      <c r="U542" t="s">
        <v>609</v>
      </c>
      <c r="V542" s="1"/>
      <c r="W542" s="1"/>
      <c r="X542" s="1"/>
      <c r="Y542">
        <v>2.1000000000000002E-9</v>
      </c>
      <c r="Z542" s="1"/>
      <c r="AA542" s="1"/>
      <c r="AF542" s="2"/>
      <c r="AG542" s="2"/>
      <c r="AK542" t="s">
        <v>44</v>
      </c>
    </row>
    <row r="543" spans="1:37" hidden="1" x14ac:dyDescent="0.25">
      <c r="A543" t="s">
        <v>514</v>
      </c>
      <c r="B543" t="s">
        <v>165</v>
      </c>
      <c r="C543" t="s">
        <v>166</v>
      </c>
      <c r="D543" t="s">
        <v>140</v>
      </c>
      <c r="E543" t="s">
        <v>17</v>
      </c>
      <c r="F543" t="s">
        <v>69</v>
      </c>
      <c r="G543" t="s">
        <v>616</v>
      </c>
      <c r="H543" t="s">
        <v>760</v>
      </c>
      <c r="I543" t="s">
        <v>705</v>
      </c>
      <c r="J543">
        <f t="shared" si="77"/>
        <v>525</v>
      </c>
      <c r="K543" t="s">
        <v>751</v>
      </c>
      <c r="L543" t="s">
        <v>515</v>
      </c>
      <c r="M543" t="s">
        <v>707</v>
      </c>
      <c r="R543" t="s">
        <v>408</v>
      </c>
      <c r="S543" t="s">
        <v>701</v>
      </c>
      <c r="T543" t="s">
        <v>695</v>
      </c>
      <c r="U543" t="s">
        <v>609</v>
      </c>
      <c r="V543" s="1"/>
      <c r="W543" s="1"/>
      <c r="X543" s="1"/>
      <c r="Y543">
        <v>1.9900000000000001E-10</v>
      </c>
      <c r="Z543" s="1"/>
      <c r="AA543" s="1"/>
      <c r="AF543" s="2"/>
      <c r="AG543" s="2"/>
      <c r="AK543" t="s">
        <v>44</v>
      </c>
    </row>
    <row r="544" spans="1:37" hidden="1" x14ac:dyDescent="0.25">
      <c r="A544" t="s">
        <v>514</v>
      </c>
      <c r="B544" t="s">
        <v>518</v>
      </c>
      <c r="C544" t="s">
        <v>179</v>
      </c>
      <c r="D544" t="s">
        <v>22</v>
      </c>
      <c r="E544" t="s">
        <v>17</v>
      </c>
      <c r="F544" t="s">
        <v>69</v>
      </c>
      <c r="G544" t="s">
        <v>616</v>
      </c>
      <c r="H544" t="s">
        <v>760</v>
      </c>
      <c r="I544" t="s">
        <v>705</v>
      </c>
      <c r="J544">
        <f t="shared" si="77"/>
        <v>525</v>
      </c>
      <c r="K544" t="s">
        <v>751</v>
      </c>
      <c r="L544" t="s">
        <v>515</v>
      </c>
      <c r="M544" t="s">
        <v>707</v>
      </c>
      <c r="R544" t="s">
        <v>408</v>
      </c>
      <c r="S544" t="s">
        <v>701</v>
      </c>
      <c r="T544" t="s">
        <v>695</v>
      </c>
      <c r="U544" t="s">
        <v>609</v>
      </c>
      <c r="V544" s="1"/>
      <c r="W544" s="1"/>
      <c r="X544" s="1"/>
      <c r="Y544">
        <v>5.5200000000000006E-10</v>
      </c>
      <c r="Z544" s="1"/>
      <c r="AA544" s="1"/>
      <c r="AF544" s="2"/>
      <c r="AG544" s="2"/>
      <c r="AK544" t="s">
        <v>44</v>
      </c>
    </row>
    <row r="545" spans="1:37" hidden="1" x14ac:dyDescent="0.25">
      <c r="A545" t="s">
        <v>514</v>
      </c>
      <c r="B545" t="s">
        <v>357</v>
      </c>
      <c r="C545" t="s">
        <v>139</v>
      </c>
      <c r="D545" t="s">
        <v>140</v>
      </c>
      <c r="E545" t="s">
        <v>17</v>
      </c>
      <c r="F545" t="s">
        <v>69</v>
      </c>
      <c r="G545" t="s">
        <v>616</v>
      </c>
      <c r="H545" t="s">
        <v>760</v>
      </c>
      <c r="I545" t="s">
        <v>705</v>
      </c>
      <c r="J545">
        <f t="shared" si="77"/>
        <v>525</v>
      </c>
      <c r="K545" t="s">
        <v>751</v>
      </c>
      <c r="L545" t="s">
        <v>515</v>
      </c>
      <c r="M545" t="s">
        <v>707</v>
      </c>
      <c r="R545" t="s">
        <v>408</v>
      </c>
      <c r="S545" t="s">
        <v>701</v>
      </c>
      <c r="T545" t="s">
        <v>695</v>
      </c>
      <c r="U545" t="s">
        <v>609</v>
      </c>
      <c r="V545" s="1"/>
      <c r="W545" s="1"/>
      <c r="X545" s="1"/>
      <c r="Y545">
        <v>8.9999999999999999E-11</v>
      </c>
      <c r="Z545" s="1"/>
      <c r="AA545" s="1"/>
      <c r="AF545" s="2"/>
      <c r="AG545" s="2"/>
      <c r="AK545" t="s">
        <v>44</v>
      </c>
    </row>
    <row r="546" spans="1:37" hidden="1" x14ac:dyDescent="0.25">
      <c r="A546" t="s">
        <v>514</v>
      </c>
      <c r="B546" t="s">
        <v>294</v>
      </c>
      <c r="C546" t="s">
        <v>139</v>
      </c>
      <c r="D546" t="s">
        <v>140</v>
      </c>
      <c r="E546" t="s">
        <v>17</v>
      </c>
      <c r="F546" t="s">
        <v>69</v>
      </c>
      <c r="G546" t="s">
        <v>616</v>
      </c>
      <c r="H546" t="s">
        <v>760</v>
      </c>
      <c r="I546" t="s">
        <v>705</v>
      </c>
      <c r="J546">
        <f t="shared" si="77"/>
        <v>525</v>
      </c>
      <c r="K546" t="s">
        <v>751</v>
      </c>
      <c r="L546" t="s">
        <v>515</v>
      </c>
      <c r="M546" t="s">
        <v>707</v>
      </c>
      <c r="R546" t="s">
        <v>408</v>
      </c>
      <c r="S546" t="s">
        <v>701</v>
      </c>
      <c r="T546" t="s">
        <v>695</v>
      </c>
      <c r="U546" t="s">
        <v>609</v>
      </c>
      <c r="V546" s="1"/>
      <c r="W546" s="1"/>
      <c r="X546" s="1"/>
      <c r="Y546">
        <v>2.2300000000000001E-10</v>
      </c>
      <c r="Z546" s="1"/>
      <c r="AA546" s="1"/>
      <c r="AF546" s="2"/>
      <c r="AG546" s="2"/>
      <c r="AK546" t="s">
        <v>44</v>
      </c>
    </row>
    <row r="547" spans="1:37" hidden="1" x14ac:dyDescent="0.25">
      <c r="A547" t="s">
        <v>514</v>
      </c>
      <c r="B547" t="s">
        <v>516</v>
      </c>
      <c r="C547" t="s">
        <v>174</v>
      </c>
      <c r="D547" t="s">
        <v>175</v>
      </c>
      <c r="E547" t="s">
        <v>17</v>
      </c>
      <c r="F547" t="s">
        <v>69</v>
      </c>
      <c r="G547" t="s">
        <v>616</v>
      </c>
      <c r="H547" t="s">
        <v>760</v>
      </c>
      <c r="I547" t="s">
        <v>705</v>
      </c>
      <c r="J547">
        <f t="shared" si="77"/>
        <v>525</v>
      </c>
      <c r="K547" t="s">
        <v>751</v>
      </c>
      <c r="L547" t="s">
        <v>519</v>
      </c>
      <c r="M547" t="s">
        <v>707</v>
      </c>
      <c r="R547" t="s">
        <v>408</v>
      </c>
      <c r="S547" t="s">
        <v>701</v>
      </c>
      <c r="T547" t="s">
        <v>695</v>
      </c>
      <c r="U547" t="s">
        <v>609</v>
      </c>
      <c r="V547" s="1"/>
      <c r="W547" s="1"/>
      <c r="X547" s="1"/>
      <c r="Y547">
        <v>6.1500000000000005E-10</v>
      </c>
      <c r="Z547" s="1"/>
      <c r="AA547" s="1"/>
      <c r="AF547" s="2"/>
      <c r="AG547" s="2"/>
      <c r="AK547" t="s">
        <v>44</v>
      </c>
    </row>
    <row r="548" spans="1:37" hidden="1" x14ac:dyDescent="0.25">
      <c r="A548" t="s">
        <v>514</v>
      </c>
      <c r="B548" t="s">
        <v>517</v>
      </c>
      <c r="C548" t="s">
        <v>363</v>
      </c>
      <c r="D548" t="s">
        <v>249</v>
      </c>
      <c r="E548" t="s">
        <v>17</v>
      </c>
      <c r="F548" t="s">
        <v>126</v>
      </c>
      <c r="G548" t="s">
        <v>616</v>
      </c>
      <c r="H548" t="s">
        <v>760</v>
      </c>
      <c r="I548" t="s">
        <v>705</v>
      </c>
      <c r="J548">
        <f t="shared" si="77"/>
        <v>525</v>
      </c>
      <c r="K548" t="s">
        <v>751</v>
      </c>
      <c r="L548" t="s">
        <v>519</v>
      </c>
      <c r="M548" t="s">
        <v>707</v>
      </c>
      <c r="R548" t="s">
        <v>408</v>
      </c>
      <c r="S548" t="s">
        <v>701</v>
      </c>
      <c r="T548" t="s">
        <v>695</v>
      </c>
      <c r="U548" t="s">
        <v>609</v>
      </c>
      <c r="V548" s="1"/>
      <c r="W548" s="1"/>
      <c r="X548" s="1"/>
      <c r="Y548">
        <v>2.4700000000000004E-9</v>
      </c>
      <c r="Z548" s="1"/>
      <c r="AA548" s="1"/>
      <c r="AF548" s="2"/>
      <c r="AG548" s="2"/>
      <c r="AK548" t="s">
        <v>44</v>
      </c>
    </row>
    <row r="549" spans="1:37" hidden="1" x14ac:dyDescent="0.25">
      <c r="A549" t="s">
        <v>514</v>
      </c>
      <c r="B549" t="s">
        <v>165</v>
      </c>
      <c r="C549" t="s">
        <v>166</v>
      </c>
      <c r="D549" t="s">
        <v>140</v>
      </c>
      <c r="E549" t="s">
        <v>17</v>
      </c>
      <c r="F549" t="s">
        <v>69</v>
      </c>
      <c r="G549" t="s">
        <v>616</v>
      </c>
      <c r="H549" t="s">
        <v>760</v>
      </c>
      <c r="I549" t="s">
        <v>705</v>
      </c>
      <c r="J549">
        <f t="shared" si="77"/>
        <v>525</v>
      </c>
      <c r="K549" t="s">
        <v>751</v>
      </c>
      <c r="L549" t="s">
        <v>519</v>
      </c>
      <c r="M549" t="s">
        <v>707</v>
      </c>
      <c r="R549" t="s">
        <v>408</v>
      </c>
      <c r="S549" t="s">
        <v>701</v>
      </c>
      <c r="T549" t="s">
        <v>695</v>
      </c>
      <c r="U549" t="s">
        <v>609</v>
      </c>
      <c r="V549" s="1"/>
      <c r="W549" s="1"/>
      <c r="X549" s="1"/>
      <c r="Y549">
        <v>3.3700000000000003E-10</v>
      </c>
      <c r="Z549" s="1"/>
      <c r="AA549" s="1"/>
      <c r="AF549" s="2"/>
      <c r="AG549" s="2"/>
      <c r="AK549" t="s">
        <v>44</v>
      </c>
    </row>
    <row r="550" spans="1:37" hidden="1" x14ac:dyDescent="0.25">
      <c r="A550" t="s">
        <v>514</v>
      </c>
      <c r="B550" t="s">
        <v>518</v>
      </c>
      <c r="C550" t="s">
        <v>179</v>
      </c>
      <c r="D550" t="s">
        <v>22</v>
      </c>
      <c r="E550" t="s">
        <v>17</v>
      </c>
      <c r="F550" t="s">
        <v>69</v>
      </c>
      <c r="G550" t="s">
        <v>616</v>
      </c>
      <c r="H550" t="s">
        <v>760</v>
      </c>
      <c r="I550" t="s">
        <v>705</v>
      </c>
      <c r="J550">
        <f t="shared" si="77"/>
        <v>525</v>
      </c>
      <c r="K550" t="s">
        <v>751</v>
      </c>
      <c r="L550" t="s">
        <v>519</v>
      </c>
      <c r="M550" t="s">
        <v>707</v>
      </c>
      <c r="R550" t="s">
        <v>408</v>
      </c>
      <c r="S550" t="s">
        <v>701</v>
      </c>
      <c r="T550" t="s">
        <v>695</v>
      </c>
      <c r="U550" t="s">
        <v>609</v>
      </c>
      <c r="V550" s="1"/>
      <c r="W550" s="1"/>
      <c r="X550" s="1"/>
      <c r="Y550">
        <v>5.8700000000000004E-10</v>
      </c>
      <c r="Z550" s="1"/>
      <c r="AA550" s="1"/>
      <c r="AF550" s="2"/>
      <c r="AG550" s="2"/>
      <c r="AK550" t="s">
        <v>44</v>
      </c>
    </row>
    <row r="551" spans="1:37" hidden="1" x14ac:dyDescent="0.25">
      <c r="A551" t="s">
        <v>514</v>
      </c>
      <c r="B551" t="s">
        <v>357</v>
      </c>
      <c r="C551" t="s">
        <v>139</v>
      </c>
      <c r="D551" t="s">
        <v>140</v>
      </c>
      <c r="E551" t="s">
        <v>17</v>
      </c>
      <c r="F551" t="s">
        <v>69</v>
      </c>
      <c r="G551" t="s">
        <v>616</v>
      </c>
      <c r="H551" t="s">
        <v>760</v>
      </c>
      <c r="I551" t="s">
        <v>705</v>
      </c>
      <c r="J551">
        <f t="shared" si="77"/>
        <v>525</v>
      </c>
      <c r="K551" t="s">
        <v>751</v>
      </c>
      <c r="L551" t="s">
        <v>519</v>
      </c>
      <c r="M551" t="s">
        <v>707</v>
      </c>
      <c r="R551" t="s">
        <v>408</v>
      </c>
      <c r="S551" t="s">
        <v>701</v>
      </c>
      <c r="T551" t="s">
        <v>695</v>
      </c>
      <c r="U551" t="s">
        <v>609</v>
      </c>
      <c r="V551" s="1"/>
      <c r="W551" s="1"/>
      <c r="X551" s="1"/>
      <c r="Y551">
        <v>2.6400000000000002E-10</v>
      </c>
      <c r="Z551" s="1"/>
      <c r="AA551" s="1"/>
      <c r="AF551" s="2"/>
      <c r="AG551" s="2"/>
      <c r="AK551" t="s">
        <v>44</v>
      </c>
    </row>
    <row r="552" spans="1:37" hidden="1" x14ac:dyDescent="0.25">
      <c r="A552" t="s">
        <v>514</v>
      </c>
      <c r="B552" t="s">
        <v>294</v>
      </c>
      <c r="C552" t="s">
        <v>139</v>
      </c>
      <c r="D552" t="s">
        <v>140</v>
      </c>
      <c r="E552" t="s">
        <v>17</v>
      </c>
      <c r="F552" t="s">
        <v>69</v>
      </c>
      <c r="G552" t="s">
        <v>616</v>
      </c>
      <c r="H552" t="s">
        <v>760</v>
      </c>
      <c r="I552" t="s">
        <v>705</v>
      </c>
      <c r="J552">
        <f t="shared" si="77"/>
        <v>525</v>
      </c>
      <c r="K552" t="s">
        <v>751</v>
      </c>
      <c r="L552" t="s">
        <v>519</v>
      </c>
      <c r="M552" t="s">
        <v>707</v>
      </c>
      <c r="R552" t="s">
        <v>408</v>
      </c>
      <c r="S552" t="s">
        <v>701</v>
      </c>
      <c r="T552" t="s">
        <v>695</v>
      </c>
      <c r="U552" t="s">
        <v>609</v>
      </c>
      <c r="V552" s="1"/>
      <c r="W552" s="1"/>
      <c r="X552" s="1"/>
      <c r="Y552">
        <v>3.1100000000000001E-10</v>
      </c>
      <c r="Z552" s="1"/>
      <c r="AA552" s="1"/>
      <c r="AF552" s="2"/>
      <c r="AG552" s="2"/>
      <c r="AK552" t="s">
        <v>44</v>
      </c>
    </row>
    <row r="553" spans="1:37" hidden="1" x14ac:dyDescent="0.25">
      <c r="A553" t="s">
        <v>514</v>
      </c>
      <c r="B553" t="s">
        <v>516</v>
      </c>
      <c r="C553" t="s">
        <v>174</v>
      </c>
      <c r="D553" t="s">
        <v>175</v>
      </c>
      <c r="E553" t="s">
        <v>17</v>
      </c>
      <c r="F553" t="s">
        <v>69</v>
      </c>
      <c r="G553" t="s">
        <v>616</v>
      </c>
      <c r="H553" t="s">
        <v>760</v>
      </c>
      <c r="I553" t="s">
        <v>705</v>
      </c>
      <c r="J553">
        <f t="shared" si="77"/>
        <v>525</v>
      </c>
      <c r="K553" t="s">
        <v>751</v>
      </c>
      <c r="L553" t="s">
        <v>520</v>
      </c>
      <c r="M553" t="s">
        <v>707</v>
      </c>
      <c r="R553" t="s">
        <v>408</v>
      </c>
      <c r="S553" t="s">
        <v>701</v>
      </c>
      <c r="T553" t="s">
        <v>695</v>
      </c>
      <c r="U553" t="s">
        <v>609</v>
      </c>
      <c r="V553" s="1"/>
      <c r="W553" s="1"/>
      <c r="X553" s="1"/>
      <c r="Y553">
        <v>4.19E-10</v>
      </c>
      <c r="Z553" s="1"/>
      <c r="AA553" s="1"/>
      <c r="AF553" s="2"/>
      <c r="AG553" s="2"/>
      <c r="AK553" t="s">
        <v>44</v>
      </c>
    </row>
    <row r="554" spans="1:37" hidden="1" x14ac:dyDescent="0.25">
      <c r="A554" t="s">
        <v>514</v>
      </c>
      <c r="B554" t="s">
        <v>517</v>
      </c>
      <c r="C554" t="s">
        <v>363</v>
      </c>
      <c r="D554" t="s">
        <v>249</v>
      </c>
      <c r="E554" t="s">
        <v>17</v>
      </c>
      <c r="F554" t="s">
        <v>126</v>
      </c>
      <c r="G554" t="s">
        <v>616</v>
      </c>
      <c r="H554" t="s">
        <v>760</v>
      </c>
      <c r="I554" t="s">
        <v>705</v>
      </c>
      <c r="J554">
        <f t="shared" si="77"/>
        <v>525</v>
      </c>
      <c r="K554" t="s">
        <v>751</v>
      </c>
      <c r="L554" t="s">
        <v>520</v>
      </c>
      <c r="M554" t="s">
        <v>707</v>
      </c>
      <c r="R554" t="s">
        <v>408</v>
      </c>
      <c r="S554" t="s">
        <v>701</v>
      </c>
      <c r="T554" t="s">
        <v>695</v>
      </c>
      <c r="U554" t="s">
        <v>609</v>
      </c>
      <c r="V554" s="1"/>
      <c r="W554" s="1"/>
      <c r="X554" s="1"/>
      <c r="Y554">
        <v>2.7900000000000001E-9</v>
      </c>
      <c r="Z554" s="1"/>
      <c r="AA554" s="1"/>
      <c r="AF554" s="2"/>
      <c r="AG554" s="2"/>
      <c r="AK554" t="s">
        <v>44</v>
      </c>
    </row>
    <row r="555" spans="1:37" hidden="1" x14ac:dyDescent="0.25">
      <c r="A555" t="s">
        <v>514</v>
      </c>
      <c r="B555" t="s">
        <v>165</v>
      </c>
      <c r="C555" t="s">
        <v>166</v>
      </c>
      <c r="D555" t="s">
        <v>140</v>
      </c>
      <c r="E555" t="s">
        <v>17</v>
      </c>
      <c r="F555" t="s">
        <v>69</v>
      </c>
      <c r="G555" t="s">
        <v>616</v>
      </c>
      <c r="H555" t="s">
        <v>760</v>
      </c>
      <c r="I555" t="s">
        <v>705</v>
      </c>
      <c r="J555">
        <f t="shared" si="77"/>
        <v>525</v>
      </c>
      <c r="K555" t="s">
        <v>751</v>
      </c>
      <c r="L555" t="s">
        <v>520</v>
      </c>
      <c r="M555" t="s">
        <v>707</v>
      </c>
      <c r="R555" t="s">
        <v>408</v>
      </c>
      <c r="S555" t="s">
        <v>701</v>
      </c>
      <c r="T555" t="s">
        <v>695</v>
      </c>
      <c r="U555" t="s">
        <v>609</v>
      </c>
      <c r="V555" s="1"/>
      <c r="W555" s="1"/>
      <c r="X555" s="1"/>
      <c r="Y555">
        <v>1.8900000000000002E-10</v>
      </c>
      <c r="Z555" s="1"/>
      <c r="AA555" s="1"/>
      <c r="AF555" s="2"/>
      <c r="AG555" s="2"/>
      <c r="AK555" t="s">
        <v>44</v>
      </c>
    </row>
    <row r="556" spans="1:37" hidden="1" x14ac:dyDescent="0.25">
      <c r="A556" t="s">
        <v>514</v>
      </c>
      <c r="B556" t="s">
        <v>518</v>
      </c>
      <c r="C556" t="s">
        <v>179</v>
      </c>
      <c r="D556" t="s">
        <v>22</v>
      </c>
      <c r="E556" t="s">
        <v>17</v>
      </c>
      <c r="F556" t="s">
        <v>69</v>
      </c>
      <c r="G556" t="s">
        <v>616</v>
      </c>
      <c r="H556" t="s">
        <v>760</v>
      </c>
      <c r="I556" t="s">
        <v>705</v>
      </c>
      <c r="J556">
        <f t="shared" si="77"/>
        <v>525</v>
      </c>
      <c r="K556" t="s">
        <v>751</v>
      </c>
      <c r="L556" t="s">
        <v>520</v>
      </c>
      <c r="M556" t="s">
        <v>707</v>
      </c>
      <c r="R556" t="s">
        <v>408</v>
      </c>
      <c r="S556" t="s">
        <v>701</v>
      </c>
      <c r="T556" t="s">
        <v>695</v>
      </c>
      <c r="U556" t="s">
        <v>609</v>
      </c>
      <c r="V556" s="1"/>
      <c r="W556" s="1"/>
      <c r="X556" s="1"/>
      <c r="Y556">
        <v>5.8600000000000004E-10</v>
      </c>
      <c r="Z556" s="1"/>
      <c r="AA556" s="1"/>
      <c r="AF556" s="2"/>
      <c r="AG556" s="2"/>
      <c r="AK556" t="s">
        <v>44</v>
      </c>
    </row>
    <row r="557" spans="1:37" hidden="1" x14ac:dyDescent="0.25">
      <c r="A557" t="s">
        <v>514</v>
      </c>
      <c r="B557" t="s">
        <v>357</v>
      </c>
      <c r="C557" t="s">
        <v>139</v>
      </c>
      <c r="D557" t="s">
        <v>140</v>
      </c>
      <c r="E557" t="s">
        <v>17</v>
      </c>
      <c r="F557" t="s">
        <v>69</v>
      </c>
      <c r="G557" t="s">
        <v>616</v>
      </c>
      <c r="H557" t="s">
        <v>760</v>
      </c>
      <c r="I557" t="s">
        <v>705</v>
      </c>
      <c r="J557">
        <f t="shared" si="77"/>
        <v>525</v>
      </c>
      <c r="K557" t="s">
        <v>751</v>
      </c>
      <c r="L557" t="s">
        <v>520</v>
      </c>
      <c r="M557" t="s">
        <v>707</v>
      </c>
      <c r="R557" t="s">
        <v>408</v>
      </c>
      <c r="S557" t="s">
        <v>701</v>
      </c>
      <c r="T557" t="s">
        <v>695</v>
      </c>
      <c r="U557" t="s">
        <v>609</v>
      </c>
      <c r="V557" s="1"/>
      <c r="W557" s="1"/>
      <c r="X557" s="1"/>
      <c r="Y557">
        <v>3.4699999999999999E-10</v>
      </c>
      <c r="Z557" s="1"/>
      <c r="AA557" s="1"/>
      <c r="AF557" s="2"/>
      <c r="AG557" s="2"/>
      <c r="AK557" t="s">
        <v>44</v>
      </c>
    </row>
    <row r="558" spans="1:37" hidden="1" x14ac:dyDescent="0.25">
      <c r="A558" t="s">
        <v>514</v>
      </c>
      <c r="B558" t="s">
        <v>294</v>
      </c>
      <c r="C558" t="s">
        <v>139</v>
      </c>
      <c r="D558" t="s">
        <v>140</v>
      </c>
      <c r="E558" t="s">
        <v>17</v>
      </c>
      <c r="F558" t="s">
        <v>69</v>
      </c>
      <c r="G558" t="s">
        <v>616</v>
      </c>
      <c r="H558" t="s">
        <v>760</v>
      </c>
      <c r="I558" t="s">
        <v>705</v>
      </c>
      <c r="J558">
        <f t="shared" si="77"/>
        <v>525</v>
      </c>
      <c r="K558" t="s">
        <v>751</v>
      </c>
      <c r="L558" t="s">
        <v>520</v>
      </c>
      <c r="M558" t="s">
        <v>707</v>
      </c>
      <c r="R558" t="s">
        <v>408</v>
      </c>
      <c r="S558" t="s">
        <v>701</v>
      </c>
      <c r="T558" t="s">
        <v>695</v>
      </c>
      <c r="U558" t="s">
        <v>609</v>
      </c>
      <c r="V558" s="1"/>
      <c r="W558" s="1"/>
      <c r="X558" s="1"/>
      <c r="Y558">
        <v>3.2400000000000002E-10</v>
      </c>
      <c r="Z558" s="1"/>
      <c r="AA558" s="1"/>
      <c r="AF558" s="2"/>
      <c r="AG558" s="2"/>
      <c r="AK558" t="s">
        <v>44</v>
      </c>
    </row>
    <row r="559" spans="1:37" hidden="1" x14ac:dyDescent="0.25">
      <c r="A559" t="s">
        <v>324</v>
      </c>
      <c r="B559" t="s">
        <v>220</v>
      </c>
      <c r="C559" t="s">
        <v>221</v>
      </c>
      <c r="D559" t="s">
        <v>89</v>
      </c>
      <c r="E559" t="s">
        <v>17</v>
      </c>
      <c r="F559" t="s">
        <v>618</v>
      </c>
      <c r="G559" t="s">
        <v>618</v>
      </c>
      <c r="H559" t="s">
        <v>801</v>
      </c>
      <c r="I559" t="s">
        <v>804</v>
      </c>
      <c r="J559">
        <f>7+3+4</f>
        <v>14</v>
      </c>
      <c r="K559" t="s">
        <v>48</v>
      </c>
      <c r="L559" t="s">
        <v>36</v>
      </c>
      <c r="M559" t="str">
        <f t="shared" ref="M559:M571" si="78">+IF(L559 = "Control", "Control", "Stress")</f>
        <v>Control</v>
      </c>
      <c r="R559" t="s">
        <v>408</v>
      </c>
      <c r="S559" t="s">
        <v>701</v>
      </c>
      <c r="T559" t="s">
        <v>695</v>
      </c>
      <c r="U559" t="s">
        <v>610</v>
      </c>
      <c r="V559" s="1"/>
      <c r="W559" s="1"/>
      <c r="X559" s="1"/>
      <c r="Y559" s="1">
        <f>[79]Aroca_etal_2006_Fig3b!C2</f>
        <v>5.5000000000000004E-9</v>
      </c>
      <c r="Z559" s="1"/>
      <c r="AA559" s="1"/>
      <c r="AF559" s="2"/>
      <c r="AG559" s="2"/>
      <c r="AK559" t="s">
        <v>348</v>
      </c>
    </row>
    <row r="560" spans="1:37" hidden="1" x14ac:dyDescent="0.25">
      <c r="A560" t="s">
        <v>324</v>
      </c>
      <c r="B560" t="s">
        <v>220</v>
      </c>
      <c r="C560" t="s">
        <v>221</v>
      </c>
      <c r="D560" t="s">
        <v>89</v>
      </c>
      <c r="E560" t="s">
        <v>17</v>
      </c>
      <c r="F560" t="s">
        <v>618</v>
      </c>
      <c r="G560" t="s">
        <v>618</v>
      </c>
      <c r="H560" t="s">
        <v>801</v>
      </c>
      <c r="I560" t="s">
        <v>804</v>
      </c>
      <c r="J560">
        <f>7+3+4</f>
        <v>14</v>
      </c>
      <c r="K560" t="s">
        <v>48</v>
      </c>
      <c r="L560" t="s">
        <v>48</v>
      </c>
      <c r="M560" t="str">
        <f t="shared" si="78"/>
        <v>Stress</v>
      </c>
      <c r="R560" t="s">
        <v>408</v>
      </c>
      <c r="S560" t="s">
        <v>701</v>
      </c>
      <c r="T560" t="s">
        <v>695</v>
      </c>
      <c r="U560" t="s">
        <v>610</v>
      </c>
      <c r="V560" s="1"/>
      <c r="W560" s="1"/>
      <c r="X560" s="1"/>
      <c r="Y560" s="1">
        <f>[79]Aroca_etal_2006_Fig3b!C3</f>
        <v>2.9444444444444445E-9</v>
      </c>
      <c r="Z560" s="1"/>
      <c r="AA560" s="1"/>
      <c r="AF560" s="2"/>
      <c r="AG560" s="2"/>
      <c r="AK560" t="s">
        <v>348</v>
      </c>
    </row>
    <row r="561" spans="1:37" hidden="1" x14ac:dyDescent="0.25">
      <c r="A561" t="s">
        <v>324</v>
      </c>
      <c r="B561" t="s">
        <v>220</v>
      </c>
      <c r="C561" t="s">
        <v>221</v>
      </c>
      <c r="D561" t="s">
        <v>89</v>
      </c>
      <c r="E561" t="s">
        <v>17</v>
      </c>
      <c r="F561" t="s">
        <v>618</v>
      </c>
      <c r="G561" t="s">
        <v>618</v>
      </c>
      <c r="H561" t="s">
        <v>801</v>
      </c>
      <c r="I561" t="s">
        <v>804</v>
      </c>
      <c r="J561">
        <f>7+3+4+1</f>
        <v>15</v>
      </c>
      <c r="K561" t="s">
        <v>48</v>
      </c>
      <c r="L561" t="s">
        <v>36</v>
      </c>
      <c r="M561" t="str">
        <f t="shared" si="78"/>
        <v>Control</v>
      </c>
      <c r="R561" t="s">
        <v>408</v>
      </c>
      <c r="S561" t="s">
        <v>701</v>
      </c>
      <c r="T561" t="s">
        <v>695</v>
      </c>
      <c r="U561" t="s">
        <v>610</v>
      </c>
      <c r="V561" s="1"/>
      <c r="W561" s="1"/>
      <c r="X561" s="1"/>
      <c r="Y561" s="1">
        <f>[79]Aroca_etal_2006_Fig3b!C4</f>
        <v>7.7520802741066938E-9</v>
      </c>
      <c r="Z561" s="1"/>
      <c r="AA561" s="1"/>
      <c r="AF561" s="2"/>
      <c r="AG561" s="2"/>
      <c r="AK561" t="s">
        <v>348</v>
      </c>
    </row>
    <row r="562" spans="1:37" hidden="1" x14ac:dyDescent="0.25">
      <c r="A562" t="s">
        <v>324</v>
      </c>
      <c r="B562" t="s">
        <v>220</v>
      </c>
      <c r="C562" t="s">
        <v>221</v>
      </c>
      <c r="D562" t="s">
        <v>89</v>
      </c>
      <c r="E562" t="s">
        <v>17</v>
      </c>
      <c r="F562" t="s">
        <v>618</v>
      </c>
      <c r="G562" t="s">
        <v>618</v>
      </c>
      <c r="H562" t="s">
        <v>801</v>
      </c>
      <c r="I562" t="s">
        <v>804</v>
      </c>
      <c r="J562">
        <f>7+3+4+1</f>
        <v>15</v>
      </c>
      <c r="K562" t="s">
        <v>48</v>
      </c>
      <c r="L562" t="s">
        <v>48</v>
      </c>
      <c r="M562" t="str">
        <f t="shared" si="78"/>
        <v>Stress</v>
      </c>
      <c r="R562" t="s">
        <v>408</v>
      </c>
      <c r="S562" t="s">
        <v>701</v>
      </c>
      <c r="T562" t="s">
        <v>695</v>
      </c>
      <c r="U562" t="s">
        <v>610</v>
      </c>
      <c r="V562" s="1"/>
      <c r="W562" s="1"/>
      <c r="X562" s="1"/>
      <c r="Y562" s="1">
        <f>[79]Aroca_etal_2006_Fig3b!C5</f>
        <v>3.2550171316691107E-9</v>
      </c>
      <c r="Z562" s="1"/>
      <c r="AA562" s="1"/>
      <c r="AF562" s="2"/>
      <c r="AG562" s="2"/>
      <c r="AK562" t="s">
        <v>348</v>
      </c>
    </row>
    <row r="563" spans="1:37" hidden="1" x14ac:dyDescent="0.25">
      <c r="A563" t="s">
        <v>324</v>
      </c>
      <c r="B563" t="s">
        <v>220</v>
      </c>
      <c r="C563" t="s">
        <v>221</v>
      </c>
      <c r="D563" t="s">
        <v>89</v>
      </c>
      <c r="E563" t="s">
        <v>17</v>
      </c>
      <c r="F563" t="s">
        <v>618</v>
      </c>
      <c r="G563" t="s">
        <v>618</v>
      </c>
      <c r="H563" t="s">
        <v>801</v>
      </c>
      <c r="I563" t="s">
        <v>804</v>
      </c>
      <c r="J563">
        <f>7+3+4</f>
        <v>14</v>
      </c>
      <c r="K563" t="s">
        <v>350</v>
      </c>
      <c r="L563" t="s">
        <v>36</v>
      </c>
      <c r="M563" t="str">
        <f t="shared" si="78"/>
        <v>Control</v>
      </c>
      <c r="R563" t="s">
        <v>408</v>
      </c>
      <c r="S563" t="s">
        <v>701</v>
      </c>
      <c r="T563" t="s">
        <v>695</v>
      </c>
      <c r="U563" t="s">
        <v>610</v>
      </c>
      <c r="V563" s="1"/>
      <c r="W563" s="1"/>
      <c r="X563" s="1"/>
      <c r="Y563" s="1">
        <f>[79]Aroca_etal_2006_Fig3b!C6</f>
        <v>7.4094468918257223E-9</v>
      </c>
      <c r="Z563" s="1"/>
      <c r="AA563" s="1"/>
      <c r="AF563" s="2"/>
      <c r="AG563" s="2"/>
      <c r="AK563" t="s">
        <v>348</v>
      </c>
    </row>
    <row r="564" spans="1:37" hidden="1" x14ac:dyDescent="0.25">
      <c r="A564" t="s">
        <v>324</v>
      </c>
      <c r="B564" t="s">
        <v>220</v>
      </c>
      <c r="C564" t="s">
        <v>221</v>
      </c>
      <c r="D564" t="s">
        <v>89</v>
      </c>
      <c r="E564" t="s">
        <v>17</v>
      </c>
      <c r="F564" t="s">
        <v>618</v>
      </c>
      <c r="G564" t="s">
        <v>618</v>
      </c>
      <c r="H564" t="s">
        <v>801</v>
      </c>
      <c r="I564" t="s">
        <v>804</v>
      </c>
      <c r="J564">
        <f>7+3+4</f>
        <v>14</v>
      </c>
      <c r="K564" t="s">
        <v>350</v>
      </c>
      <c r="L564" t="s">
        <v>76</v>
      </c>
      <c r="M564" t="str">
        <f t="shared" si="78"/>
        <v>Stress</v>
      </c>
      <c r="R564" t="s">
        <v>408</v>
      </c>
      <c r="S564" t="s">
        <v>701</v>
      </c>
      <c r="T564" t="s">
        <v>695</v>
      </c>
      <c r="U564" t="s">
        <v>610</v>
      </c>
      <c r="V564" s="1"/>
      <c r="W564" s="1"/>
      <c r="X564" s="1"/>
      <c r="Y564" s="1">
        <f>[79]Aroca_etal_2006_Fig3b!C7</f>
        <v>1.7302985805188416E-8</v>
      </c>
      <c r="Z564" s="1"/>
      <c r="AA564" s="1"/>
      <c r="AF564" s="2"/>
      <c r="AG564" s="2"/>
      <c r="AK564" t="s">
        <v>348</v>
      </c>
    </row>
    <row r="565" spans="1:37" hidden="1" x14ac:dyDescent="0.25">
      <c r="A565" t="s">
        <v>97</v>
      </c>
      <c r="B565" t="s">
        <v>98</v>
      </c>
      <c r="C565" t="s">
        <v>99</v>
      </c>
      <c r="D565" t="s">
        <v>89</v>
      </c>
      <c r="E565" t="s">
        <v>17</v>
      </c>
      <c r="F565" t="s">
        <v>618</v>
      </c>
      <c r="G565" t="s">
        <v>618</v>
      </c>
      <c r="H565" t="s">
        <v>801</v>
      </c>
      <c r="I565" t="s">
        <v>804</v>
      </c>
      <c r="K565" t="s">
        <v>719</v>
      </c>
      <c r="L565" t="s">
        <v>36</v>
      </c>
      <c r="M565" t="str">
        <f t="shared" si="78"/>
        <v>Control</v>
      </c>
      <c r="N565" t="s">
        <v>36</v>
      </c>
      <c r="O565" t="str">
        <f t="shared" ref="O565:O570" si="79">+IF(N565="Control","Control","Stress")</f>
        <v>Control</v>
      </c>
      <c r="P565" t="s">
        <v>720</v>
      </c>
      <c r="Q565" t="s">
        <v>707</v>
      </c>
      <c r="R565" t="s">
        <v>408</v>
      </c>
      <c r="S565" t="s">
        <v>701</v>
      </c>
      <c r="T565" t="s">
        <v>695</v>
      </c>
      <c r="U565" t="s">
        <v>609</v>
      </c>
      <c r="V565" s="1"/>
      <c r="W565" s="1"/>
      <c r="X565" s="1"/>
      <c r="Y565" s="1"/>
      <c r="Z565" s="1">
        <v>1.1559999999999999E-10</v>
      </c>
      <c r="AA565" s="1"/>
      <c r="AF565" s="2"/>
      <c r="AG565" s="2"/>
      <c r="AK565" t="s">
        <v>199</v>
      </c>
    </row>
    <row r="566" spans="1:37" hidden="1" x14ac:dyDescent="0.25">
      <c r="A566" t="s">
        <v>97</v>
      </c>
      <c r="B566" t="s">
        <v>98</v>
      </c>
      <c r="C566" t="s">
        <v>99</v>
      </c>
      <c r="D566" t="s">
        <v>89</v>
      </c>
      <c r="E566" t="s">
        <v>17</v>
      </c>
      <c r="F566" t="s">
        <v>618</v>
      </c>
      <c r="G566" t="s">
        <v>618</v>
      </c>
      <c r="H566" t="s">
        <v>801</v>
      </c>
      <c r="I566" t="s">
        <v>804</v>
      </c>
      <c r="K566" t="s">
        <v>719</v>
      </c>
      <c r="L566" t="s">
        <v>662</v>
      </c>
      <c r="M566" t="str">
        <f t="shared" si="78"/>
        <v>Stress</v>
      </c>
      <c r="N566" t="s">
        <v>660</v>
      </c>
      <c r="O566" t="str">
        <f t="shared" si="79"/>
        <v>Stress</v>
      </c>
      <c r="P566" t="s">
        <v>720</v>
      </c>
      <c r="Q566" t="s">
        <v>707</v>
      </c>
      <c r="R566" t="s">
        <v>408</v>
      </c>
      <c r="S566" t="s">
        <v>701</v>
      </c>
      <c r="T566" t="s">
        <v>695</v>
      </c>
      <c r="U566" t="s">
        <v>609</v>
      </c>
      <c r="V566" s="1"/>
      <c r="W566" s="1"/>
      <c r="X566" s="1"/>
      <c r="Y566" s="1"/>
      <c r="Z566" s="1">
        <v>7.2299999999999998E-11</v>
      </c>
      <c r="AA566" s="1"/>
      <c r="AF566" s="2"/>
      <c r="AG566" s="2"/>
      <c r="AK566" t="s">
        <v>199</v>
      </c>
    </row>
    <row r="567" spans="1:37" hidden="1" x14ac:dyDescent="0.25">
      <c r="A567" t="s">
        <v>97</v>
      </c>
      <c r="B567" t="s">
        <v>98</v>
      </c>
      <c r="C567" t="s">
        <v>99</v>
      </c>
      <c r="D567" t="s">
        <v>89</v>
      </c>
      <c r="E567" t="s">
        <v>17</v>
      </c>
      <c r="F567" t="s">
        <v>618</v>
      </c>
      <c r="G567" t="s">
        <v>618</v>
      </c>
      <c r="H567" t="s">
        <v>801</v>
      </c>
      <c r="I567" t="s">
        <v>804</v>
      </c>
      <c r="K567" t="s">
        <v>719</v>
      </c>
      <c r="L567" t="s">
        <v>662</v>
      </c>
      <c r="M567" t="str">
        <f t="shared" si="78"/>
        <v>Stress</v>
      </c>
      <c r="N567" t="s">
        <v>661</v>
      </c>
      <c r="O567" t="str">
        <f t="shared" si="79"/>
        <v>Stress</v>
      </c>
      <c r="P567" t="s">
        <v>720</v>
      </c>
      <c r="Q567" t="s">
        <v>707</v>
      </c>
      <c r="R567" t="s">
        <v>408</v>
      </c>
      <c r="S567" t="s">
        <v>701</v>
      </c>
      <c r="T567" t="s">
        <v>695</v>
      </c>
      <c r="U567" t="s">
        <v>609</v>
      </c>
      <c r="V567" s="1"/>
      <c r="W567" s="1"/>
      <c r="X567" s="1"/>
      <c r="Y567" s="1"/>
      <c r="Z567" s="1">
        <v>4.2900000000000002E-11</v>
      </c>
      <c r="AA567" s="1"/>
      <c r="AF567" s="2"/>
      <c r="AG567" s="2"/>
      <c r="AK567" t="s">
        <v>199</v>
      </c>
    </row>
    <row r="568" spans="1:37" hidden="1" x14ac:dyDescent="0.25">
      <c r="A568" t="s">
        <v>97</v>
      </c>
      <c r="B568" t="s">
        <v>98</v>
      </c>
      <c r="C568" t="s">
        <v>99</v>
      </c>
      <c r="D568" t="s">
        <v>89</v>
      </c>
      <c r="E568" t="s">
        <v>17</v>
      </c>
      <c r="F568" t="s">
        <v>618</v>
      </c>
      <c r="G568" t="s">
        <v>618</v>
      </c>
      <c r="H568" t="s">
        <v>801</v>
      </c>
      <c r="I568" t="s">
        <v>804</v>
      </c>
      <c r="K568" t="s">
        <v>719</v>
      </c>
      <c r="L568" t="s">
        <v>36</v>
      </c>
      <c r="M568" t="str">
        <f t="shared" si="78"/>
        <v>Control</v>
      </c>
      <c r="N568" t="s">
        <v>36</v>
      </c>
      <c r="O568" t="str">
        <f t="shared" si="79"/>
        <v>Control</v>
      </c>
      <c r="P568" t="s">
        <v>721</v>
      </c>
      <c r="Q568" t="s">
        <v>707</v>
      </c>
      <c r="R568" t="s">
        <v>408</v>
      </c>
      <c r="S568" t="s">
        <v>701</v>
      </c>
      <c r="T568" t="s">
        <v>695</v>
      </c>
      <c r="U568" t="s">
        <v>609</v>
      </c>
      <c r="V568" s="1"/>
      <c r="W568" s="1"/>
      <c r="X568" s="1"/>
      <c r="Y568" s="1">
        <v>1.8699999999999999E-8</v>
      </c>
      <c r="Z568" s="1"/>
      <c r="AA568" s="1"/>
      <c r="AF568" s="2"/>
      <c r="AG568" s="2"/>
      <c r="AK568" t="s">
        <v>199</v>
      </c>
    </row>
    <row r="569" spans="1:37" hidden="1" x14ac:dyDescent="0.25">
      <c r="A569" t="s">
        <v>97</v>
      </c>
      <c r="B569" t="s">
        <v>98</v>
      </c>
      <c r="C569" t="s">
        <v>99</v>
      </c>
      <c r="D569" t="s">
        <v>89</v>
      </c>
      <c r="E569" t="s">
        <v>17</v>
      </c>
      <c r="F569" t="s">
        <v>618</v>
      </c>
      <c r="G569" t="s">
        <v>618</v>
      </c>
      <c r="H569" t="s">
        <v>801</v>
      </c>
      <c r="I569" t="s">
        <v>804</v>
      </c>
      <c r="K569" t="s">
        <v>719</v>
      </c>
      <c r="L569" t="s">
        <v>662</v>
      </c>
      <c r="M569" t="str">
        <f t="shared" si="78"/>
        <v>Stress</v>
      </c>
      <c r="N569" t="s">
        <v>660</v>
      </c>
      <c r="O569" t="str">
        <f t="shared" si="79"/>
        <v>Stress</v>
      </c>
      <c r="P569" t="s">
        <v>721</v>
      </c>
      <c r="Q569" t="s">
        <v>707</v>
      </c>
      <c r="R569" t="s">
        <v>408</v>
      </c>
      <c r="S569" t="s">
        <v>701</v>
      </c>
      <c r="T569" t="s">
        <v>695</v>
      </c>
      <c r="U569" t="s">
        <v>609</v>
      </c>
      <c r="V569" s="1"/>
      <c r="W569" s="1"/>
      <c r="X569" s="1"/>
      <c r="Y569" s="1">
        <v>1.89E-8</v>
      </c>
      <c r="Z569" s="1"/>
      <c r="AA569" s="1"/>
      <c r="AF569" s="2"/>
      <c r="AG569" s="2"/>
      <c r="AK569" t="s">
        <v>199</v>
      </c>
    </row>
    <row r="570" spans="1:37" hidden="1" x14ac:dyDescent="0.25">
      <c r="A570" t="s">
        <v>97</v>
      </c>
      <c r="B570" t="s">
        <v>98</v>
      </c>
      <c r="C570" t="s">
        <v>99</v>
      </c>
      <c r="D570" t="s">
        <v>89</v>
      </c>
      <c r="E570" t="s">
        <v>17</v>
      </c>
      <c r="F570" t="s">
        <v>618</v>
      </c>
      <c r="G570" t="s">
        <v>618</v>
      </c>
      <c r="H570" t="s">
        <v>801</v>
      </c>
      <c r="I570" t="s">
        <v>804</v>
      </c>
      <c r="K570" t="s">
        <v>719</v>
      </c>
      <c r="L570" t="s">
        <v>662</v>
      </c>
      <c r="M570" t="str">
        <f t="shared" si="78"/>
        <v>Stress</v>
      </c>
      <c r="N570" t="s">
        <v>661</v>
      </c>
      <c r="O570" t="str">
        <f t="shared" si="79"/>
        <v>Stress</v>
      </c>
      <c r="P570" t="s">
        <v>721</v>
      </c>
      <c r="Q570" t="s">
        <v>707</v>
      </c>
      <c r="R570" t="s">
        <v>408</v>
      </c>
      <c r="S570" t="s">
        <v>701</v>
      </c>
      <c r="T570" t="s">
        <v>695</v>
      </c>
      <c r="U570" t="s">
        <v>609</v>
      </c>
      <c r="V570" s="1"/>
      <c r="W570" s="1"/>
      <c r="X570" s="1"/>
      <c r="Y570" s="1">
        <v>7.3E-9</v>
      </c>
      <c r="Z570" s="1"/>
      <c r="AA570" s="1"/>
      <c r="AF570" s="2"/>
      <c r="AG570" s="2"/>
      <c r="AK570" t="s">
        <v>199</v>
      </c>
    </row>
    <row r="571" spans="1:37" hidden="1" x14ac:dyDescent="0.25">
      <c r="A571" t="s">
        <v>97</v>
      </c>
      <c r="B571" t="s">
        <v>98</v>
      </c>
      <c r="C571" t="s">
        <v>99</v>
      </c>
      <c r="D571" t="s">
        <v>89</v>
      </c>
      <c r="E571" t="s">
        <v>17</v>
      </c>
      <c r="F571" t="s">
        <v>618</v>
      </c>
      <c r="G571" t="s">
        <v>618</v>
      </c>
      <c r="H571" t="s">
        <v>801</v>
      </c>
      <c r="I571" t="s">
        <v>804</v>
      </c>
      <c r="K571" t="s">
        <v>136</v>
      </c>
      <c r="L571" t="s">
        <v>100</v>
      </c>
      <c r="M571" t="str">
        <f t="shared" si="78"/>
        <v>Stress</v>
      </c>
      <c r="R571" t="s">
        <v>408</v>
      </c>
      <c r="S571" t="s">
        <v>701</v>
      </c>
      <c r="T571" t="s">
        <v>695</v>
      </c>
      <c r="U571" t="s">
        <v>609</v>
      </c>
      <c r="V571" s="1"/>
      <c r="W571" s="1"/>
      <c r="X571" s="1"/>
      <c r="Y571" s="1">
        <v>4.4999999999999998E-9</v>
      </c>
      <c r="Z571" s="1"/>
      <c r="AA571" s="1"/>
      <c r="AF571" s="2"/>
      <c r="AG571" s="2"/>
      <c r="AK571" t="s">
        <v>199</v>
      </c>
    </row>
    <row r="572" spans="1:37" hidden="1" x14ac:dyDescent="0.25">
      <c r="A572" t="s">
        <v>101</v>
      </c>
      <c r="B572" t="s">
        <v>102</v>
      </c>
      <c r="C572" t="s">
        <v>75</v>
      </c>
      <c r="D572" t="s">
        <v>16</v>
      </c>
      <c r="E572" t="s">
        <v>17</v>
      </c>
      <c r="F572" t="s">
        <v>18</v>
      </c>
      <c r="G572" t="s">
        <v>18</v>
      </c>
      <c r="H572" t="s">
        <v>18</v>
      </c>
      <c r="I572" t="s">
        <v>704</v>
      </c>
      <c r="J572">
        <v>35</v>
      </c>
      <c r="K572" t="s">
        <v>746</v>
      </c>
      <c r="L572" t="s">
        <v>103</v>
      </c>
      <c r="M572" t="s">
        <v>707</v>
      </c>
      <c r="R572" t="s">
        <v>408</v>
      </c>
      <c r="S572" t="s">
        <v>701</v>
      </c>
      <c r="T572" t="s">
        <v>695</v>
      </c>
      <c r="U572" t="s">
        <v>609</v>
      </c>
      <c r="V572" s="1" t="s">
        <v>733</v>
      </c>
      <c r="W572" s="1">
        <f t="shared" ref="W572:W577" si="80">+AB572*AD572/10000</f>
        <v>7.0379999999999999E-10</v>
      </c>
      <c r="X572" s="1"/>
      <c r="Y572" s="1"/>
      <c r="Z572" s="1"/>
      <c r="AA572" s="1"/>
      <c r="AB572" s="1">
        <v>1.8E-7</v>
      </c>
      <c r="AD572">
        <v>39.1</v>
      </c>
      <c r="AE572">
        <v>352.4</v>
      </c>
      <c r="AF572" s="2"/>
      <c r="AG572" s="2"/>
      <c r="AH572" s="2">
        <v>0.25</v>
      </c>
      <c r="AJ572" s="3"/>
      <c r="AK572" t="s">
        <v>199</v>
      </c>
    </row>
    <row r="573" spans="1:37" hidden="1" x14ac:dyDescent="0.25">
      <c r="A573" t="s">
        <v>101</v>
      </c>
      <c r="B573" t="s">
        <v>102</v>
      </c>
      <c r="C573" t="s">
        <v>75</v>
      </c>
      <c r="D573" t="s">
        <v>16</v>
      </c>
      <c r="E573" t="s">
        <v>17</v>
      </c>
      <c r="F573" t="s">
        <v>18</v>
      </c>
      <c r="G573" t="s">
        <v>18</v>
      </c>
      <c r="H573" t="s">
        <v>18</v>
      </c>
      <c r="I573" t="s">
        <v>704</v>
      </c>
      <c r="J573">
        <v>35</v>
      </c>
      <c r="K573" t="s">
        <v>746</v>
      </c>
      <c r="L573" t="s">
        <v>104</v>
      </c>
      <c r="M573" t="s">
        <v>707</v>
      </c>
      <c r="R573" t="s">
        <v>408</v>
      </c>
      <c r="S573" t="s">
        <v>701</v>
      </c>
      <c r="T573" t="s">
        <v>695</v>
      </c>
      <c r="U573" t="s">
        <v>609</v>
      </c>
      <c r="V573" s="1" t="s">
        <v>733</v>
      </c>
      <c r="W573" s="1">
        <f t="shared" si="80"/>
        <v>9.6933E-10</v>
      </c>
      <c r="X573" s="1"/>
      <c r="Y573" s="1"/>
      <c r="Z573" s="1"/>
      <c r="AA573" s="1"/>
      <c r="AB573" s="1">
        <v>2.3699999999999999E-7</v>
      </c>
      <c r="AD573">
        <v>40.9</v>
      </c>
      <c r="AE573">
        <v>434.5</v>
      </c>
      <c r="AF573" s="2"/>
      <c r="AG573" s="2"/>
      <c r="AH573" s="2">
        <v>0.28000000000000003</v>
      </c>
      <c r="AJ573" s="3"/>
      <c r="AK573" t="s">
        <v>199</v>
      </c>
    </row>
    <row r="574" spans="1:37" hidden="1" x14ac:dyDescent="0.25">
      <c r="A574" t="s">
        <v>101</v>
      </c>
      <c r="B574" t="s">
        <v>102</v>
      </c>
      <c r="C574" t="s">
        <v>75</v>
      </c>
      <c r="D574" t="s">
        <v>16</v>
      </c>
      <c r="E574" t="s">
        <v>17</v>
      </c>
      <c r="F574" t="s">
        <v>18</v>
      </c>
      <c r="G574" t="s">
        <v>18</v>
      </c>
      <c r="H574" t="s">
        <v>18</v>
      </c>
      <c r="I574" t="s">
        <v>704</v>
      </c>
      <c r="J574">
        <v>35</v>
      </c>
      <c r="K574" t="s">
        <v>746</v>
      </c>
      <c r="L574" t="s">
        <v>105</v>
      </c>
      <c r="M574" t="s">
        <v>707</v>
      </c>
      <c r="R574" t="s">
        <v>408</v>
      </c>
      <c r="S574" t="s">
        <v>701</v>
      </c>
      <c r="T574" t="s">
        <v>695</v>
      </c>
      <c r="U574" t="s">
        <v>609</v>
      </c>
      <c r="V574" s="1" t="s">
        <v>733</v>
      </c>
      <c r="W574" s="1">
        <f t="shared" si="80"/>
        <v>1.3018E-9</v>
      </c>
      <c r="X574" s="1"/>
      <c r="Y574" s="1"/>
      <c r="Z574" s="1"/>
      <c r="AA574" s="1"/>
      <c r="AB574" s="1">
        <v>2.2999999999999999E-7</v>
      </c>
      <c r="AD574">
        <v>56.6</v>
      </c>
      <c r="AE574">
        <v>625.6</v>
      </c>
      <c r="AF574" s="2"/>
      <c r="AG574" s="2"/>
      <c r="AH574" s="2">
        <v>0.28999999999999998</v>
      </c>
      <c r="AJ574" s="3"/>
      <c r="AK574" t="s">
        <v>199</v>
      </c>
    </row>
    <row r="575" spans="1:37" hidden="1" x14ac:dyDescent="0.25">
      <c r="A575" t="s">
        <v>101</v>
      </c>
      <c r="B575" t="s">
        <v>102</v>
      </c>
      <c r="C575" t="s">
        <v>75</v>
      </c>
      <c r="D575" t="s">
        <v>16</v>
      </c>
      <c r="E575" t="s">
        <v>17</v>
      </c>
      <c r="F575" t="s">
        <v>18</v>
      </c>
      <c r="G575" t="s">
        <v>18</v>
      </c>
      <c r="H575" t="s">
        <v>18</v>
      </c>
      <c r="I575" t="s">
        <v>704</v>
      </c>
      <c r="J575">
        <v>35</v>
      </c>
      <c r="K575" t="s">
        <v>746</v>
      </c>
      <c r="L575" t="s">
        <v>106</v>
      </c>
      <c r="M575" t="s">
        <v>707</v>
      </c>
      <c r="R575" t="s">
        <v>408</v>
      </c>
      <c r="S575" t="s">
        <v>701</v>
      </c>
      <c r="T575" t="s">
        <v>695</v>
      </c>
      <c r="U575" t="s">
        <v>609</v>
      </c>
      <c r="V575" s="1" t="s">
        <v>733</v>
      </c>
      <c r="W575" s="1">
        <f t="shared" si="80"/>
        <v>1.6052399999999999E-9</v>
      </c>
      <c r="X575" s="1"/>
      <c r="Y575" s="1"/>
      <c r="Z575" s="1"/>
      <c r="AA575" s="1"/>
      <c r="AB575" s="1">
        <v>2.5199999999999998E-7</v>
      </c>
      <c r="AD575">
        <v>63.7</v>
      </c>
      <c r="AE575">
        <v>674.7</v>
      </c>
      <c r="AF575" s="2"/>
      <c r="AG575" s="2"/>
      <c r="AH575" s="2">
        <v>0.31</v>
      </c>
      <c r="AJ575" s="3"/>
      <c r="AK575" t="s">
        <v>199</v>
      </c>
    </row>
    <row r="576" spans="1:37" hidden="1" x14ac:dyDescent="0.25">
      <c r="A576" t="s">
        <v>101</v>
      </c>
      <c r="B576" t="s">
        <v>102</v>
      </c>
      <c r="C576" t="s">
        <v>75</v>
      </c>
      <c r="D576" t="s">
        <v>16</v>
      </c>
      <c r="E576" t="s">
        <v>17</v>
      </c>
      <c r="F576" t="s">
        <v>18</v>
      </c>
      <c r="G576" t="s">
        <v>18</v>
      </c>
      <c r="H576" t="s">
        <v>18</v>
      </c>
      <c r="I576" t="s">
        <v>704</v>
      </c>
      <c r="J576">
        <v>35</v>
      </c>
      <c r="K576" t="s">
        <v>746</v>
      </c>
      <c r="L576" t="s">
        <v>107</v>
      </c>
      <c r="M576" t="s">
        <v>707</v>
      </c>
      <c r="R576" t="s">
        <v>408</v>
      </c>
      <c r="S576" t="s">
        <v>701</v>
      </c>
      <c r="T576" t="s">
        <v>695</v>
      </c>
      <c r="U576" t="s">
        <v>609</v>
      </c>
      <c r="V576" s="1" t="s">
        <v>733</v>
      </c>
      <c r="W576" s="1">
        <f t="shared" si="80"/>
        <v>1.8319400000000002E-9</v>
      </c>
      <c r="X576" s="1"/>
      <c r="Y576" s="1"/>
      <c r="Z576" s="1"/>
      <c r="AA576" s="1"/>
      <c r="AB576" s="1">
        <v>2.4200000000000002E-7</v>
      </c>
      <c r="AD576">
        <v>75.7</v>
      </c>
      <c r="AE576">
        <v>780.6</v>
      </c>
      <c r="AF576" s="2"/>
      <c r="AG576" s="2"/>
      <c r="AH576" s="2">
        <v>0.32</v>
      </c>
      <c r="AJ576" s="3"/>
      <c r="AK576" t="s">
        <v>199</v>
      </c>
    </row>
    <row r="577" spans="1:37" hidden="1" x14ac:dyDescent="0.25">
      <c r="A577" t="s">
        <v>101</v>
      </c>
      <c r="B577" t="s">
        <v>102</v>
      </c>
      <c r="C577" t="s">
        <v>75</v>
      </c>
      <c r="D577" t="s">
        <v>16</v>
      </c>
      <c r="E577" t="s">
        <v>17</v>
      </c>
      <c r="F577" t="s">
        <v>18</v>
      </c>
      <c r="G577" t="s">
        <v>18</v>
      </c>
      <c r="H577" t="s">
        <v>18</v>
      </c>
      <c r="I577" t="s">
        <v>704</v>
      </c>
      <c r="J577">
        <v>35</v>
      </c>
      <c r="K577" t="s">
        <v>746</v>
      </c>
      <c r="L577" t="s">
        <v>108</v>
      </c>
      <c r="M577" t="s">
        <v>707</v>
      </c>
      <c r="R577" t="s">
        <v>408</v>
      </c>
      <c r="S577" t="s">
        <v>701</v>
      </c>
      <c r="T577" t="s">
        <v>695</v>
      </c>
      <c r="U577" t="s">
        <v>609</v>
      </c>
      <c r="V577" s="1" t="s">
        <v>733</v>
      </c>
      <c r="W577" s="1">
        <f t="shared" si="80"/>
        <v>2.4071300000000001E-9</v>
      </c>
      <c r="X577" s="1"/>
      <c r="Y577" s="1"/>
      <c r="Z577" s="1"/>
      <c r="AA577" s="1"/>
      <c r="AB577" s="1">
        <v>2.7700000000000001E-7</v>
      </c>
      <c r="AD577">
        <v>86.9</v>
      </c>
      <c r="AE577">
        <v>921.1</v>
      </c>
      <c r="AF577" s="2"/>
      <c r="AG577" s="2"/>
      <c r="AH577" s="2">
        <v>0.33</v>
      </c>
      <c r="AJ577" s="3"/>
      <c r="AK577" t="s">
        <v>199</v>
      </c>
    </row>
    <row r="578" spans="1:37" hidden="1" x14ac:dyDescent="0.25">
      <c r="A578" t="s">
        <v>109</v>
      </c>
      <c r="B578" t="s">
        <v>102</v>
      </c>
      <c r="C578" t="s">
        <v>75</v>
      </c>
      <c r="D578" t="s">
        <v>16</v>
      </c>
      <c r="E578" t="s">
        <v>17</v>
      </c>
      <c r="F578" t="s">
        <v>18</v>
      </c>
      <c r="G578" t="s">
        <v>18</v>
      </c>
      <c r="H578" t="s">
        <v>18</v>
      </c>
      <c r="I578" t="s">
        <v>704</v>
      </c>
      <c r="J578">
        <f>15+30*4+6</f>
        <v>141</v>
      </c>
      <c r="K578" t="s">
        <v>48</v>
      </c>
      <c r="L578" t="s">
        <v>36</v>
      </c>
      <c r="M578" t="str">
        <f t="shared" ref="M578:M604" si="81">+IF(L578 = "Control", "Control", "Stress")</f>
        <v>Control</v>
      </c>
      <c r="R578" t="s">
        <v>408</v>
      </c>
      <c r="S578" t="s">
        <v>701</v>
      </c>
      <c r="T578" t="s">
        <v>695</v>
      </c>
      <c r="U578" t="s">
        <v>609</v>
      </c>
      <c r="V578" s="1" t="s">
        <v>774</v>
      </c>
      <c r="W578" s="1">
        <v>7.1699999999999998E-9</v>
      </c>
      <c r="X578" s="1"/>
      <c r="Y578" s="1"/>
      <c r="Z578" s="1"/>
      <c r="AA578" s="1"/>
      <c r="AF578" s="3">
        <v>23.6</v>
      </c>
      <c r="AG578" s="2"/>
      <c r="AI578" s="5">
        <f>256.4/10000</f>
        <v>2.5639999999999996E-2</v>
      </c>
      <c r="AK578" t="s">
        <v>199</v>
      </c>
    </row>
    <row r="579" spans="1:37" hidden="1" x14ac:dyDescent="0.25">
      <c r="A579" t="s">
        <v>109</v>
      </c>
      <c r="B579" t="s">
        <v>102</v>
      </c>
      <c r="C579" t="s">
        <v>75</v>
      </c>
      <c r="D579" t="s">
        <v>16</v>
      </c>
      <c r="E579" t="s">
        <v>17</v>
      </c>
      <c r="F579" t="s">
        <v>18</v>
      </c>
      <c r="G579" t="s">
        <v>18</v>
      </c>
      <c r="H579" t="s">
        <v>18</v>
      </c>
      <c r="I579" t="s">
        <v>704</v>
      </c>
      <c r="J579">
        <f>15+30*4+6</f>
        <v>141</v>
      </c>
      <c r="K579" t="s">
        <v>48</v>
      </c>
      <c r="L579" t="s">
        <v>473</v>
      </c>
      <c r="M579" t="str">
        <f t="shared" si="81"/>
        <v>Stress</v>
      </c>
      <c r="R579" t="s">
        <v>408</v>
      </c>
      <c r="S579" t="s">
        <v>701</v>
      </c>
      <c r="T579" t="s">
        <v>695</v>
      </c>
      <c r="U579" t="s">
        <v>609</v>
      </c>
      <c r="V579" s="1" t="s">
        <v>774</v>
      </c>
      <c r="W579" s="1">
        <v>4.5299999999999999E-9</v>
      </c>
      <c r="X579" s="1"/>
      <c r="Y579" s="1"/>
      <c r="Z579" s="1"/>
      <c r="AA579" s="1"/>
      <c r="AF579" s="3">
        <v>20.8</v>
      </c>
      <c r="AG579" s="2"/>
      <c r="AI579" s="5">
        <f>146.8/10000</f>
        <v>1.468E-2</v>
      </c>
      <c r="AK579" t="s">
        <v>199</v>
      </c>
    </row>
    <row r="580" spans="1:37" hidden="1" x14ac:dyDescent="0.25">
      <c r="A580" t="s">
        <v>109</v>
      </c>
      <c r="B580" t="s">
        <v>102</v>
      </c>
      <c r="C580" t="s">
        <v>75</v>
      </c>
      <c r="D580" t="s">
        <v>16</v>
      </c>
      <c r="E580" t="s">
        <v>17</v>
      </c>
      <c r="F580" t="s">
        <v>18</v>
      </c>
      <c r="G580" t="s">
        <v>18</v>
      </c>
      <c r="H580" t="s">
        <v>18</v>
      </c>
      <c r="I580" t="s">
        <v>704</v>
      </c>
      <c r="J580">
        <f>15+30*4+6</f>
        <v>141</v>
      </c>
      <c r="K580" t="s">
        <v>48</v>
      </c>
      <c r="L580" t="s">
        <v>476</v>
      </c>
      <c r="M580" t="str">
        <f t="shared" si="81"/>
        <v>Stress</v>
      </c>
      <c r="R580" t="s">
        <v>408</v>
      </c>
      <c r="S580" t="s">
        <v>701</v>
      </c>
      <c r="T580" t="s">
        <v>695</v>
      </c>
      <c r="U580" t="s">
        <v>609</v>
      </c>
      <c r="V580" s="1" t="s">
        <v>774</v>
      </c>
      <c r="W580" s="1">
        <v>1.43E-9</v>
      </c>
      <c r="X580" s="1"/>
      <c r="Y580" s="1"/>
      <c r="Z580" s="1"/>
      <c r="AA580" s="1"/>
      <c r="AF580" s="3">
        <v>14.3</v>
      </c>
      <c r="AG580" s="2"/>
      <c r="AI580" s="5">
        <f>81.8/10000</f>
        <v>8.1799999999999998E-3</v>
      </c>
      <c r="AK580" t="s">
        <v>199</v>
      </c>
    </row>
    <row r="581" spans="1:37" hidden="1" x14ac:dyDescent="0.25">
      <c r="A581" t="s">
        <v>110</v>
      </c>
      <c r="B581" t="s">
        <v>111</v>
      </c>
      <c r="C581" t="s">
        <v>112</v>
      </c>
      <c r="D581" t="s">
        <v>113</v>
      </c>
      <c r="E581" t="s">
        <v>17</v>
      </c>
      <c r="F581" t="s">
        <v>114</v>
      </c>
      <c r="G581" t="s">
        <v>762</v>
      </c>
      <c r="H581" t="s">
        <v>762</v>
      </c>
      <c r="I581" t="s">
        <v>705</v>
      </c>
      <c r="J581">
        <f>3*30+60</f>
        <v>150</v>
      </c>
      <c r="K581" t="s">
        <v>663</v>
      </c>
      <c r="L581" t="s">
        <v>36</v>
      </c>
      <c r="M581" t="str">
        <f t="shared" si="81"/>
        <v>Control</v>
      </c>
      <c r="N581" t="s">
        <v>474</v>
      </c>
      <c r="O581" t="s">
        <v>707</v>
      </c>
      <c r="R581" t="s">
        <v>408</v>
      </c>
      <c r="S581" t="s">
        <v>701</v>
      </c>
      <c r="T581" t="s">
        <v>695</v>
      </c>
      <c r="U581" t="s">
        <v>609</v>
      </c>
      <c r="V581" s="1"/>
      <c r="W581" s="1"/>
      <c r="X581" s="1"/>
      <c r="Y581" s="1"/>
      <c r="Z581" s="1"/>
      <c r="AA581" s="1"/>
      <c r="AB581" s="1">
        <f>[80]Shimidzu_etal_2005_Fig1a!B2</f>
        <v>8.1317494600431896E-8</v>
      </c>
      <c r="AF581" s="2"/>
      <c r="AG581" s="2"/>
      <c r="AK581" t="s">
        <v>199</v>
      </c>
    </row>
    <row r="582" spans="1:37" hidden="1" x14ac:dyDescent="0.25">
      <c r="A582" t="s">
        <v>110</v>
      </c>
      <c r="B582" t="s">
        <v>111</v>
      </c>
      <c r="C582" t="s">
        <v>112</v>
      </c>
      <c r="D582" t="s">
        <v>113</v>
      </c>
      <c r="E582" t="s">
        <v>17</v>
      </c>
      <c r="F582" t="s">
        <v>114</v>
      </c>
      <c r="G582" t="s">
        <v>762</v>
      </c>
      <c r="H582" t="s">
        <v>762</v>
      </c>
      <c r="I582" t="s">
        <v>705</v>
      </c>
      <c r="J582">
        <f>3*30+60+60</f>
        <v>210</v>
      </c>
      <c r="K582" t="s">
        <v>663</v>
      </c>
      <c r="L582" t="s">
        <v>36</v>
      </c>
      <c r="M582" t="str">
        <f t="shared" si="81"/>
        <v>Control</v>
      </c>
      <c r="N582" t="s">
        <v>475</v>
      </c>
      <c r="O582" t="s">
        <v>707</v>
      </c>
      <c r="R582" t="s">
        <v>408</v>
      </c>
      <c r="S582" t="s">
        <v>701</v>
      </c>
      <c r="T582" t="s">
        <v>695</v>
      </c>
      <c r="U582" t="s">
        <v>609</v>
      </c>
      <c r="V582" s="1"/>
      <c r="W582" s="1"/>
      <c r="X582" s="1"/>
      <c r="Y582" s="1"/>
      <c r="Z582" s="1"/>
      <c r="AA582" s="1"/>
      <c r="AB582" s="1">
        <f>[80]Shimidzu_etal_2005_Fig1a!B3</f>
        <v>6.7386609071274306E-8</v>
      </c>
      <c r="AF582" s="2"/>
      <c r="AG582" s="2"/>
      <c r="AK582" t="s">
        <v>199</v>
      </c>
    </row>
    <row r="583" spans="1:37" hidden="1" x14ac:dyDescent="0.25">
      <c r="A583" t="s">
        <v>110</v>
      </c>
      <c r="B583" t="s">
        <v>115</v>
      </c>
      <c r="C583" t="s">
        <v>112</v>
      </c>
      <c r="D583" t="s">
        <v>113</v>
      </c>
      <c r="E583" t="s">
        <v>17</v>
      </c>
      <c r="F583" t="s">
        <v>114</v>
      </c>
      <c r="G583" t="s">
        <v>762</v>
      </c>
      <c r="H583" t="s">
        <v>762</v>
      </c>
      <c r="I583" t="s">
        <v>705</v>
      </c>
      <c r="J583">
        <f>6*30+90</f>
        <v>270</v>
      </c>
      <c r="K583" t="s">
        <v>663</v>
      </c>
      <c r="L583" t="s">
        <v>36</v>
      </c>
      <c r="M583" t="str">
        <f t="shared" si="81"/>
        <v>Control</v>
      </c>
      <c r="N583" t="s">
        <v>474</v>
      </c>
      <c r="O583" t="s">
        <v>707</v>
      </c>
      <c r="R583" t="s">
        <v>408</v>
      </c>
      <c r="S583" t="s">
        <v>701</v>
      </c>
      <c r="T583" t="s">
        <v>695</v>
      </c>
      <c r="U583" t="s">
        <v>609</v>
      </c>
      <c r="V583" s="1"/>
      <c r="W583" s="1"/>
      <c r="X583" s="1"/>
      <c r="Y583" s="1"/>
      <c r="Z583" s="1"/>
      <c r="AA583" s="1"/>
      <c r="AB583" s="1">
        <f>[80]Shimidzu_etal_2005_Fig1a!B4</f>
        <v>5.8963282937365001E-8</v>
      </c>
      <c r="AF583" s="2"/>
      <c r="AG583" s="2"/>
      <c r="AK583" t="s">
        <v>199</v>
      </c>
    </row>
    <row r="584" spans="1:37" hidden="1" x14ac:dyDescent="0.25">
      <c r="A584" t="s">
        <v>110</v>
      </c>
      <c r="B584" t="s">
        <v>115</v>
      </c>
      <c r="C584" t="s">
        <v>112</v>
      </c>
      <c r="D584" t="s">
        <v>113</v>
      </c>
      <c r="E584" t="s">
        <v>17</v>
      </c>
      <c r="F584" t="s">
        <v>114</v>
      </c>
      <c r="G584" t="s">
        <v>762</v>
      </c>
      <c r="H584" t="s">
        <v>762</v>
      </c>
      <c r="I584" t="s">
        <v>705</v>
      </c>
      <c r="J584">
        <f>6*30+90+90</f>
        <v>360</v>
      </c>
      <c r="K584" t="s">
        <v>663</v>
      </c>
      <c r="L584" t="s">
        <v>36</v>
      </c>
      <c r="M584" t="str">
        <f t="shared" si="81"/>
        <v>Control</v>
      </c>
      <c r="N584" t="s">
        <v>475</v>
      </c>
      <c r="O584" t="s">
        <v>707</v>
      </c>
      <c r="R584" t="s">
        <v>408</v>
      </c>
      <c r="S584" t="s">
        <v>701</v>
      </c>
      <c r="T584" t="s">
        <v>695</v>
      </c>
      <c r="U584" t="s">
        <v>609</v>
      </c>
      <c r="V584" s="1"/>
      <c r="W584" s="1"/>
      <c r="X584" s="1"/>
      <c r="Y584" s="1"/>
      <c r="Z584" s="1"/>
      <c r="AA584" s="1"/>
      <c r="AB584" s="1">
        <f>[80]Shimidzu_etal_2005_Fig1a!B5</f>
        <v>3.8552915766738602E-8</v>
      </c>
      <c r="AF584" s="2"/>
      <c r="AG584" s="2"/>
      <c r="AK584" t="s">
        <v>199</v>
      </c>
    </row>
    <row r="585" spans="1:37" hidden="1" x14ac:dyDescent="0.25">
      <c r="A585" t="s">
        <v>110</v>
      </c>
      <c r="B585" t="s">
        <v>116</v>
      </c>
      <c r="C585" t="s">
        <v>112</v>
      </c>
      <c r="D585" t="s">
        <v>113</v>
      </c>
      <c r="E585" t="s">
        <v>17</v>
      </c>
      <c r="F585" t="s">
        <v>114</v>
      </c>
      <c r="G585" t="s">
        <v>762</v>
      </c>
      <c r="H585" t="s">
        <v>762</v>
      </c>
      <c r="I585" t="s">
        <v>705</v>
      </c>
      <c r="J585">
        <f>6*30+90</f>
        <v>270</v>
      </c>
      <c r="K585" t="s">
        <v>663</v>
      </c>
      <c r="L585" t="s">
        <v>36</v>
      </c>
      <c r="M585" t="str">
        <f t="shared" si="81"/>
        <v>Control</v>
      </c>
      <c r="N585" t="s">
        <v>474</v>
      </c>
      <c r="O585" t="s">
        <v>707</v>
      </c>
      <c r="R585" t="s">
        <v>408</v>
      </c>
      <c r="S585" t="s">
        <v>701</v>
      </c>
      <c r="T585" t="s">
        <v>695</v>
      </c>
      <c r="U585" t="s">
        <v>609</v>
      </c>
      <c r="V585" s="1"/>
      <c r="W585" s="1"/>
      <c r="X585" s="1"/>
      <c r="Y585" s="1"/>
      <c r="Z585" s="1"/>
      <c r="AA585" s="1"/>
      <c r="AB585" s="1">
        <f>[80]Shimidzu_etal_2005_Fig1a!B6</f>
        <v>1.20518358531317E-7</v>
      </c>
      <c r="AF585" s="2"/>
      <c r="AG585" s="2"/>
      <c r="AK585" t="s">
        <v>199</v>
      </c>
    </row>
    <row r="586" spans="1:37" hidden="1" x14ac:dyDescent="0.25">
      <c r="A586" t="s">
        <v>110</v>
      </c>
      <c r="B586" t="s">
        <v>116</v>
      </c>
      <c r="C586" t="s">
        <v>112</v>
      </c>
      <c r="D586" t="s">
        <v>113</v>
      </c>
      <c r="E586" t="s">
        <v>17</v>
      </c>
      <c r="F586" t="s">
        <v>114</v>
      </c>
      <c r="G586" t="s">
        <v>762</v>
      </c>
      <c r="H586" t="s">
        <v>762</v>
      </c>
      <c r="I586" t="s">
        <v>705</v>
      </c>
      <c r="J586">
        <f>6*30+90+90</f>
        <v>360</v>
      </c>
      <c r="K586" t="s">
        <v>663</v>
      </c>
      <c r="L586" t="s">
        <v>36</v>
      </c>
      <c r="M586" t="str">
        <f t="shared" si="81"/>
        <v>Control</v>
      </c>
      <c r="N586" t="s">
        <v>475</v>
      </c>
      <c r="O586" t="s">
        <v>707</v>
      </c>
      <c r="R586" t="s">
        <v>408</v>
      </c>
      <c r="S586" t="s">
        <v>701</v>
      </c>
      <c r="T586" t="s">
        <v>695</v>
      </c>
      <c r="U586" t="s">
        <v>609</v>
      </c>
      <c r="V586" s="1"/>
      <c r="W586" s="1"/>
      <c r="X586" s="1"/>
      <c r="Y586" s="1"/>
      <c r="Z586" s="1"/>
      <c r="AA586" s="1"/>
      <c r="AB586" s="1">
        <f>[80]Shimidzu_etal_2005_Fig1a!B7</f>
        <v>6.6090712742980502E-8</v>
      </c>
      <c r="AF586" s="2"/>
      <c r="AG586" s="2"/>
      <c r="AK586" t="s">
        <v>199</v>
      </c>
    </row>
    <row r="587" spans="1:37" hidden="1" x14ac:dyDescent="0.25">
      <c r="A587" t="s">
        <v>110</v>
      </c>
      <c r="B587" t="s">
        <v>117</v>
      </c>
      <c r="C587" t="s">
        <v>112</v>
      </c>
      <c r="D587" t="s">
        <v>113</v>
      </c>
      <c r="E587" t="s">
        <v>17</v>
      </c>
      <c r="F587" t="s">
        <v>114</v>
      </c>
      <c r="G587" t="s">
        <v>762</v>
      </c>
      <c r="H587" t="s">
        <v>762</v>
      </c>
      <c r="I587" t="s">
        <v>705</v>
      </c>
      <c r="J587">
        <f>6*30+90</f>
        <v>270</v>
      </c>
      <c r="K587" t="s">
        <v>663</v>
      </c>
      <c r="L587" t="s">
        <v>36</v>
      </c>
      <c r="M587" t="str">
        <f t="shared" si="81"/>
        <v>Control</v>
      </c>
      <c r="N587" t="s">
        <v>474</v>
      </c>
      <c r="O587" t="s">
        <v>707</v>
      </c>
      <c r="R587" t="s">
        <v>408</v>
      </c>
      <c r="S587" t="s">
        <v>701</v>
      </c>
      <c r="T587" t="s">
        <v>695</v>
      </c>
      <c r="U587" t="s">
        <v>609</v>
      </c>
      <c r="V587" s="1"/>
      <c r="W587" s="1"/>
      <c r="X587" s="1"/>
      <c r="Y587" s="1"/>
      <c r="Z587" s="1"/>
      <c r="AA587" s="1"/>
      <c r="AB587" s="1">
        <f>[80]Shimidzu_etal_2005_Fig1a!B8</f>
        <v>8.8120950323973998E-8</v>
      </c>
      <c r="AF587" s="2"/>
      <c r="AG587" s="2"/>
      <c r="AK587" t="s">
        <v>199</v>
      </c>
    </row>
    <row r="588" spans="1:37" hidden="1" x14ac:dyDescent="0.25">
      <c r="A588" t="s">
        <v>110</v>
      </c>
      <c r="B588" t="s">
        <v>117</v>
      </c>
      <c r="C588" t="s">
        <v>112</v>
      </c>
      <c r="D588" t="s">
        <v>113</v>
      </c>
      <c r="E588" t="s">
        <v>17</v>
      </c>
      <c r="F588" t="s">
        <v>114</v>
      </c>
      <c r="G588" t="s">
        <v>762</v>
      </c>
      <c r="H588" t="s">
        <v>762</v>
      </c>
      <c r="I588" t="s">
        <v>705</v>
      </c>
      <c r="J588">
        <f>6*30+90+90</f>
        <v>360</v>
      </c>
      <c r="K588" t="s">
        <v>663</v>
      </c>
      <c r="L588" t="s">
        <v>36</v>
      </c>
      <c r="M588" t="str">
        <f t="shared" si="81"/>
        <v>Control</v>
      </c>
      <c r="N588" t="s">
        <v>475</v>
      </c>
      <c r="O588" t="s">
        <v>707</v>
      </c>
      <c r="R588" t="s">
        <v>408</v>
      </c>
      <c r="S588" t="s">
        <v>701</v>
      </c>
      <c r="T588" t="s">
        <v>695</v>
      </c>
      <c r="U588" t="s">
        <v>609</v>
      </c>
      <c r="V588" s="1"/>
      <c r="W588" s="1"/>
      <c r="X588" s="1"/>
      <c r="Y588" s="1"/>
      <c r="Z588" s="1"/>
      <c r="AA588" s="1"/>
      <c r="AB588" s="1">
        <f>[80]Shimidzu_etal_2005_Fig1a!B9</f>
        <v>4.2764578833693201E-8</v>
      </c>
      <c r="AF588" s="2"/>
      <c r="AG588" s="2"/>
      <c r="AK588" t="s">
        <v>199</v>
      </c>
    </row>
    <row r="589" spans="1:37" hidden="1" x14ac:dyDescent="0.25">
      <c r="A589" t="s">
        <v>110</v>
      </c>
      <c r="B589" t="s">
        <v>118</v>
      </c>
      <c r="C589" t="s">
        <v>119</v>
      </c>
      <c r="D589" t="s">
        <v>120</v>
      </c>
      <c r="E589" t="s">
        <v>17</v>
      </c>
      <c r="F589" t="s">
        <v>114</v>
      </c>
      <c r="G589" t="s">
        <v>762</v>
      </c>
      <c r="H589" t="s">
        <v>762</v>
      </c>
      <c r="I589" t="s">
        <v>705</v>
      </c>
      <c r="J589">
        <f>3*30+60</f>
        <v>150</v>
      </c>
      <c r="K589" t="s">
        <v>663</v>
      </c>
      <c r="L589" t="s">
        <v>36</v>
      </c>
      <c r="M589" t="str">
        <f t="shared" si="81"/>
        <v>Control</v>
      </c>
      <c r="N589" t="s">
        <v>474</v>
      </c>
      <c r="O589" t="s">
        <v>707</v>
      </c>
      <c r="R589" t="s">
        <v>408</v>
      </c>
      <c r="S589" t="s">
        <v>701</v>
      </c>
      <c r="T589" t="s">
        <v>695</v>
      </c>
      <c r="U589" t="s">
        <v>609</v>
      </c>
      <c r="V589" s="1"/>
      <c r="W589" s="1"/>
      <c r="X589" s="1"/>
      <c r="Y589" s="1"/>
      <c r="Z589" s="1"/>
      <c r="AA589" s="1"/>
      <c r="AB589" s="1">
        <f>[80]Shimidzu_etal_2005_Fig1a!B10</f>
        <v>1.1403887688984799E-7</v>
      </c>
      <c r="AF589" s="2"/>
      <c r="AG589" s="2"/>
      <c r="AK589" t="s">
        <v>199</v>
      </c>
    </row>
    <row r="590" spans="1:37" hidden="1" x14ac:dyDescent="0.25">
      <c r="A590" t="s">
        <v>110</v>
      </c>
      <c r="B590" t="s">
        <v>118</v>
      </c>
      <c r="C590" t="s">
        <v>119</v>
      </c>
      <c r="D590" t="s">
        <v>120</v>
      </c>
      <c r="E590" t="s">
        <v>17</v>
      </c>
      <c r="F590" t="s">
        <v>114</v>
      </c>
      <c r="G590" t="s">
        <v>762</v>
      </c>
      <c r="H590" t="s">
        <v>762</v>
      </c>
      <c r="I590" t="s">
        <v>705</v>
      </c>
      <c r="J590">
        <f>3*30+60+60</f>
        <v>210</v>
      </c>
      <c r="K590" t="s">
        <v>663</v>
      </c>
      <c r="L590" t="s">
        <v>36</v>
      </c>
      <c r="M590" t="str">
        <f t="shared" si="81"/>
        <v>Control</v>
      </c>
      <c r="N590" t="s">
        <v>475</v>
      </c>
      <c r="O590" t="s">
        <v>707</v>
      </c>
      <c r="R590" t="s">
        <v>408</v>
      </c>
      <c r="S590" t="s">
        <v>701</v>
      </c>
      <c r="T590" t="s">
        <v>695</v>
      </c>
      <c r="U590" t="s">
        <v>609</v>
      </c>
      <c r="V590" s="1"/>
      <c r="W590" s="1"/>
      <c r="X590" s="1"/>
      <c r="Y590" s="1"/>
      <c r="Z590" s="1"/>
      <c r="AA590" s="1"/>
      <c r="AB590" s="1">
        <f>[80]Shimidzu_etal_2005_Fig1a!B11</f>
        <v>4.7300215982721298E-8</v>
      </c>
      <c r="AF590" s="2"/>
      <c r="AG590" s="2"/>
      <c r="AK590" t="s">
        <v>199</v>
      </c>
    </row>
    <row r="591" spans="1:37" hidden="1" x14ac:dyDescent="0.25">
      <c r="A591" t="s">
        <v>110</v>
      </c>
      <c r="B591" t="s">
        <v>121</v>
      </c>
      <c r="C591" t="s">
        <v>122</v>
      </c>
      <c r="D591" t="s">
        <v>123</v>
      </c>
      <c r="E591" t="s">
        <v>17</v>
      </c>
      <c r="F591" t="s">
        <v>114</v>
      </c>
      <c r="G591" t="s">
        <v>762</v>
      </c>
      <c r="H591" t="s">
        <v>762</v>
      </c>
      <c r="I591" t="s">
        <v>705</v>
      </c>
      <c r="J591">
        <f>3*30+60</f>
        <v>150</v>
      </c>
      <c r="K591" t="s">
        <v>663</v>
      </c>
      <c r="L591" t="s">
        <v>36</v>
      </c>
      <c r="M591" t="str">
        <f t="shared" si="81"/>
        <v>Control</v>
      </c>
      <c r="N591" t="s">
        <v>474</v>
      </c>
      <c r="O591" t="s">
        <v>707</v>
      </c>
      <c r="R591" t="s">
        <v>408</v>
      </c>
      <c r="S591" t="s">
        <v>701</v>
      </c>
      <c r="T591" t="s">
        <v>695</v>
      </c>
      <c r="U591" t="s">
        <v>609</v>
      </c>
      <c r="V591" s="1"/>
      <c r="W591" s="1"/>
      <c r="X591" s="1"/>
      <c r="Y591" s="1"/>
      <c r="Z591" s="1"/>
      <c r="AA591" s="1"/>
      <c r="AB591" s="1">
        <f>[80]Shimidzu_etal_2005_Fig1a!B12</f>
        <v>1.2570194384449201E-7</v>
      </c>
      <c r="AF591" s="2"/>
      <c r="AG591" s="2"/>
      <c r="AK591" t="s">
        <v>199</v>
      </c>
    </row>
    <row r="592" spans="1:37" hidden="1" x14ac:dyDescent="0.25">
      <c r="A592" t="s">
        <v>110</v>
      </c>
      <c r="B592" t="s">
        <v>121</v>
      </c>
      <c r="C592" t="s">
        <v>122</v>
      </c>
      <c r="D592" t="s">
        <v>123</v>
      </c>
      <c r="E592" t="s">
        <v>17</v>
      </c>
      <c r="F592" t="s">
        <v>114</v>
      </c>
      <c r="G592" t="s">
        <v>762</v>
      </c>
      <c r="H592" t="s">
        <v>762</v>
      </c>
      <c r="I592" t="s">
        <v>705</v>
      </c>
      <c r="J592">
        <f>3*30+60+60</f>
        <v>210</v>
      </c>
      <c r="K592" t="s">
        <v>663</v>
      </c>
      <c r="L592" t="s">
        <v>36</v>
      </c>
      <c r="M592" t="str">
        <f t="shared" si="81"/>
        <v>Control</v>
      </c>
      <c r="N592" t="s">
        <v>475</v>
      </c>
      <c r="O592" t="s">
        <v>707</v>
      </c>
      <c r="R592" t="s">
        <v>408</v>
      </c>
      <c r="S592" t="s">
        <v>701</v>
      </c>
      <c r="T592" t="s">
        <v>695</v>
      </c>
      <c r="U592" t="s">
        <v>609</v>
      </c>
      <c r="V592" s="1"/>
      <c r="W592" s="1"/>
      <c r="X592" s="1"/>
      <c r="Y592" s="1"/>
      <c r="Z592" s="1"/>
      <c r="AA592" s="1"/>
      <c r="AB592" s="1">
        <f>[80]Shimidzu_etal_2005_Fig1a!B13</f>
        <v>1.9762419006479401E-8</v>
      </c>
      <c r="AF592" s="2"/>
      <c r="AG592" s="2"/>
      <c r="AK592" t="s">
        <v>199</v>
      </c>
    </row>
    <row r="593" spans="1:37" hidden="1" x14ac:dyDescent="0.25">
      <c r="A593" t="s">
        <v>110</v>
      </c>
      <c r="B593" t="s">
        <v>111</v>
      </c>
      <c r="C593" t="s">
        <v>112</v>
      </c>
      <c r="D593" t="s">
        <v>123</v>
      </c>
      <c r="E593" t="s">
        <v>17</v>
      </c>
      <c r="F593" t="s">
        <v>114</v>
      </c>
      <c r="G593" t="s">
        <v>762</v>
      </c>
      <c r="H593" t="s">
        <v>762</v>
      </c>
      <c r="I593" t="s">
        <v>705</v>
      </c>
      <c r="J593">
        <f>3*30+60</f>
        <v>150</v>
      </c>
      <c r="K593" t="s">
        <v>663</v>
      </c>
      <c r="L593" t="s">
        <v>703</v>
      </c>
      <c r="M593" t="str">
        <f t="shared" si="81"/>
        <v>Stress</v>
      </c>
      <c r="N593" t="s">
        <v>474</v>
      </c>
      <c r="O593" t="s">
        <v>707</v>
      </c>
      <c r="R593" t="s">
        <v>408</v>
      </c>
      <c r="S593" t="s">
        <v>701</v>
      </c>
      <c r="T593" t="s">
        <v>695</v>
      </c>
      <c r="U593" t="s">
        <v>609</v>
      </c>
      <c r="V593" s="1"/>
      <c r="W593" s="1"/>
      <c r="X593" s="1"/>
      <c r="Y593" s="1"/>
      <c r="Z593" s="1"/>
      <c r="AA593" s="1"/>
      <c r="AB593" s="1">
        <f>+AB581*(1-[81]Shimidzu_etal_2005_Fig1d!$B2/100)</f>
        <v>2.6773244643495965E-8</v>
      </c>
      <c r="AC593" s="2"/>
      <c r="AF593" s="2"/>
      <c r="AG593" s="2"/>
      <c r="AK593" t="s">
        <v>199</v>
      </c>
    </row>
    <row r="594" spans="1:37" hidden="1" x14ac:dyDescent="0.25">
      <c r="A594" t="s">
        <v>110</v>
      </c>
      <c r="B594" t="s">
        <v>111</v>
      </c>
      <c r="C594" t="s">
        <v>112</v>
      </c>
      <c r="D594" t="s">
        <v>123</v>
      </c>
      <c r="E594" t="s">
        <v>17</v>
      </c>
      <c r="F594" t="s">
        <v>114</v>
      </c>
      <c r="G594" t="s">
        <v>762</v>
      </c>
      <c r="H594" t="s">
        <v>762</v>
      </c>
      <c r="I594" t="s">
        <v>705</v>
      </c>
      <c r="J594">
        <f>3*30+60+60</f>
        <v>210</v>
      </c>
      <c r="K594" t="s">
        <v>663</v>
      </c>
      <c r="L594" t="s">
        <v>703</v>
      </c>
      <c r="M594" t="str">
        <f t="shared" si="81"/>
        <v>Stress</v>
      </c>
      <c r="N594" t="s">
        <v>475</v>
      </c>
      <c r="O594" t="s">
        <v>707</v>
      </c>
      <c r="R594" t="s">
        <v>408</v>
      </c>
      <c r="S594" t="s">
        <v>701</v>
      </c>
      <c r="T594" t="s">
        <v>695</v>
      </c>
      <c r="U594" t="s">
        <v>609</v>
      </c>
      <c r="V594" s="1"/>
      <c r="W594" s="1"/>
      <c r="X594" s="1"/>
      <c r="Y594" s="1"/>
      <c r="Z594" s="1"/>
      <c r="AA594" s="1"/>
      <c r="AB594" s="1">
        <f>+AB582*(1-[81]Shimidzu_etal_2005_Fig1d!$B3/100)</f>
        <v>4.2443917370046092E-8</v>
      </c>
      <c r="AF594" s="2"/>
      <c r="AG594" s="2"/>
      <c r="AK594" t="s">
        <v>199</v>
      </c>
    </row>
    <row r="595" spans="1:37" hidden="1" x14ac:dyDescent="0.25">
      <c r="A595" t="s">
        <v>110</v>
      </c>
      <c r="B595" t="s">
        <v>115</v>
      </c>
      <c r="C595" t="s">
        <v>112</v>
      </c>
      <c r="D595" t="s">
        <v>123</v>
      </c>
      <c r="E595" t="s">
        <v>17</v>
      </c>
      <c r="F595" t="s">
        <v>114</v>
      </c>
      <c r="G595" t="s">
        <v>762</v>
      </c>
      <c r="H595" t="s">
        <v>762</v>
      </c>
      <c r="I595" t="s">
        <v>705</v>
      </c>
      <c r="J595">
        <f>6*30+90</f>
        <v>270</v>
      </c>
      <c r="K595" t="s">
        <v>663</v>
      </c>
      <c r="L595" t="s">
        <v>703</v>
      </c>
      <c r="M595" t="str">
        <f t="shared" si="81"/>
        <v>Stress</v>
      </c>
      <c r="N595" t="s">
        <v>474</v>
      </c>
      <c r="O595" t="s">
        <v>707</v>
      </c>
      <c r="R595" t="s">
        <v>408</v>
      </c>
      <c r="S595" t="s">
        <v>701</v>
      </c>
      <c r="T595" t="s">
        <v>695</v>
      </c>
      <c r="U595" t="s">
        <v>609</v>
      </c>
      <c r="V595" s="1"/>
      <c r="W595" s="1"/>
      <c r="X595" s="1"/>
      <c r="Y595" s="1"/>
      <c r="Z595" s="1"/>
      <c r="AA595" s="1"/>
      <c r="AB595" s="1">
        <f>+AB583*(1-[81]Shimidzu_etal_2005_Fig1d!$B4/100)</f>
        <v>1.7966317295843345E-8</v>
      </c>
      <c r="AF595" s="2"/>
      <c r="AG595" s="2"/>
      <c r="AK595" t="s">
        <v>199</v>
      </c>
    </row>
    <row r="596" spans="1:37" hidden="1" x14ac:dyDescent="0.25">
      <c r="A596" t="s">
        <v>110</v>
      </c>
      <c r="B596" t="s">
        <v>115</v>
      </c>
      <c r="C596" t="s">
        <v>112</v>
      </c>
      <c r="D596" t="s">
        <v>123</v>
      </c>
      <c r="E596" t="s">
        <v>17</v>
      </c>
      <c r="F596" t="s">
        <v>114</v>
      </c>
      <c r="G596" t="s">
        <v>762</v>
      </c>
      <c r="H596" t="s">
        <v>762</v>
      </c>
      <c r="I596" t="s">
        <v>705</v>
      </c>
      <c r="J596">
        <f>6*30+90+90</f>
        <v>360</v>
      </c>
      <c r="K596" t="s">
        <v>663</v>
      </c>
      <c r="L596" t="s">
        <v>703</v>
      </c>
      <c r="M596" t="str">
        <f t="shared" si="81"/>
        <v>Stress</v>
      </c>
      <c r="N596" t="s">
        <v>475</v>
      </c>
      <c r="O596" t="s">
        <v>707</v>
      </c>
      <c r="R596" t="s">
        <v>408</v>
      </c>
      <c r="S596" t="s">
        <v>701</v>
      </c>
      <c r="T596" t="s">
        <v>695</v>
      </c>
      <c r="U596" t="s">
        <v>609</v>
      </c>
      <c r="V596" s="1"/>
      <c r="W596" s="1"/>
      <c r="X596" s="1"/>
      <c r="Y596" s="1"/>
      <c r="Z596" s="1"/>
      <c r="AA596" s="1"/>
      <c r="AB596" s="1">
        <f>+AB584*(1-[81]Shimidzu_etal_2005_Fig1d!$B5/100)</f>
        <v>1.7029508804939833E-8</v>
      </c>
      <c r="AF596" s="2"/>
      <c r="AG596" s="2"/>
      <c r="AK596" t="s">
        <v>199</v>
      </c>
    </row>
    <row r="597" spans="1:37" hidden="1" x14ac:dyDescent="0.25">
      <c r="A597" t="s">
        <v>110</v>
      </c>
      <c r="B597" t="s">
        <v>116</v>
      </c>
      <c r="C597" t="s">
        <v>112</v>
      </c>
      <c r="D597" t="s">
        <v>123</v>
      </c>
      <c r="E597" t="s">
        <v>17</v>
      </c>
      <c r="F597" t="s">
        <v>114</v>
      </c>
      <c r="G597" t="s">
        <v>762</v>
      </c>
      <c r="H597" t="s">
        <v>762</v>
      </c>
      <c r="I597" t="s">
        <v>705</v>
      </c>
      <c r="J597">
        <f>6*30+90</f>
        <v>270</v>
      </c>
      <c r="K597" t="s">
        <v>663</v>
      </c>
      <c r="L597" t="s">
        <v>703</v>
      </c>
      <c r="M597" t="str">
        <f t="shared" si="81"/>
        <v>Stress</v>
      </c>
      <c r="N597" t="s">
        <v>474</v>
      </c>
      <c r="O597" t="s">
        <v>707</v>
      </c>
      <c r="R597" t="s">
        <v>408</v>
      </c>
      <c r="S597" t="s">
        <v>701</v>
      </c>
      <c r="T597" t="s">
        <v>695</v>
      </c>
      <c r="U597" t="s">
        <v>609</v>
      </c>
      <c r="V597" s="1"/>
      <c r="W597" s="1"/>
      <c r="X597" s="1"/>
      <c r="Y597" s="1"/>
      <c r="Z597" s="1"/>
      <c r="AA597" s="1"/>
      <c r="AB597" s="1">
        <f>+AB585*(1-[81]Shimidzu_etal_2005_Fig1d!$B6/100)</f>
        <v>7.1226596350819246E-8</v>
      </c>
      <c r="AF597" s="2"/>
      <c r="AG597" s="2"/>
      <c r="AK597" t="s">
        <v>199</v>
      </c>
    </row>
    <row r="598" spans="1:37" hidden="1" x14ac:dyDescent="0.25">
      <c r="A598" t="s">
        <v>110</v>
      </c>
      <c r="B598" t="s">
        <v>116</v>
      </c>
      <c r="C598" t="s">
        <v>112</v>
      </c>
      <c r="D598" t="s">
        <v>123</v>
      </c>
      <c r="E598" t="s">
        <v>17</v>
      </c>
      <c r="F598" t="s">
        <v>114</v>
      </c>
      <c r="G598" t="s">
        <v>762</v>
      </c>
      <c r="H598" t="s">
        <v>762</v>
      </c>
      <c r="I598" t="s">
        <v>705</v>
      </c>
      <c r="J598">
        <f>6*30+90+90</f>
        <v>360</v>
      </c>
      <c r="K598" t="s">
        <v>663</v>
      </c>
      <c r="L598" t="s">
        <v>703</v>
      </c>
      <c r="M598" t="str">
        <f t="shared" si="81"/>
        <v>Stress</v>
      </c>
      <c r="N598" t="s">
        <v>475</v>
      </c>
      <c r="O598" t="s">
        <v>707</v>
      </c>
      <c r="R598" t="s">
        <v>408</v>
      </c>
      <c r="S598" t="s">
        <v>701</v>
      </c>
      <c r="T598" t="s">
        <v>695</v>
      </c>
      <c r="U598" t="s">
        <v>609</v>
      </c>
      <c r="V598" s="1"/>
      <c r="W598" s="1"/>
      <c r="X598" s="1"/>
      <c r="Y598" s="1"/>
      <c r="Z598" s="1"/>
      <c r="AA598" s="1"/>
      <c r="AB598" s="1">
        <f>+AB586*(1-[81]Shimidzu_etal_2005_Fig1d!$B7/100)</f>
        <v>4.6087797638765506E-8</v>
      </c>
      <c r="AF598" s="2"/>
      <c r="AG598" s="2"/>
      <c r="AK598" t="s">
        <v>199</v>
      </c>
    </row>
    <row r="599" spans="1:37" hidden="1" x14ac:dyDescent="0.25">
      <c r="A599" t="s">
        <v>110</v>
      </c>
      <c r="B599" t="s">
        <v>117</v>
      </c>
      <c r="C599" t="s">
        <v>112</v>
      </c>
      <c r="D599" t="s">
        <v>123</v>
      </c>
      <c r="E599" t="s">
        <v>17</v>
      </c>
      <c r="F599" t="s">
        <v>114</v>
      </c>
      <c r="G599" t="s">
        <v>762</v>
      </c>
      <c r="H599" t="s">
        <v>762</v>
      </c>
      <c r="I599" t="s">
        <v>705</v>
      </c>
      <c r="J599">
        <f>6*30+90</f>
        <v>270</v>
      </c>
      <c r="K599" t="s">
        <v>663</v>
      </c>
      <c r="L599" t="s">
        <v>703</v>
      </c>
      <c r="M599" t="str">
        <f t="shared" si="81"/>
        <v>Stress</v>
      </c>
      <c r="N599" t="s">
        <v>474</v>
      </c>
      <c r="O599" t="s">
        <v>707</v>
      </c>
      <c r="R599" t="s">
        <v>408</v>
      </c>
      <c r="S599" t="s">
        <v>701</v>
      </c>
      <c r="T599" t="s">
        <v>695</v>
      </c>
      <c r="U599" t="s">
        <v>609</v>
      </c>
      <c r="V599" s="1"/>
      <c r="W599" s="1"/>
      <c r="X599" s="1"/>
      <c r="Y599" s="1"/>
      <c r="Z599" s="1"/>
      <c r="AA599" s="1"/>
      <c r="AB599" s="1">
        <f>+AB587*(1-[81]Shimidzu_etal_2005_Fig1d!$B8/100)</f>
        <v>3.6221494918443386E-8</v>
      </c>
      <c r="AF599" s="2"/>
      <c r="AG599" s="2"/>
      <c r="AK599" t="s">
        <v>199</v>
      </c>
    </row>
    <row r="600" spans="1:37" hidden="1" x14ac:dyDescent="0.25">
      <c r="A600" t="s">
        <v>110</v>
      </c>
      <c r="B600" t="s">
        <v>117</v>
      </c>
      <c r="C600" t="s">
        <v>112</v>
      </c>
      <c r="D600" t="s">
        <v>123</v>
      </c>
      <c r="E600" t="s">
        <v>17</v>
      </c>
      <c r="F600" t="s">
        <v>114</v>
      </c>
      <c r="G600" t="s">
        <v>762</v>
      </c>
      <c r="H600" t="s">
        <v>762</v>
      </c>
      <c r="I600" t="s">
        <v>705</v>
      </c>
      <c r="J600">
        <f>6*30+90+90</f>
        <v>360</v>
      </c>
      <c r="K600" t="s">
        <v>663</v>
      </c>
      <c r="L600" t="s">
        <v>703</v>
      </c>
      <c r="M600" t="str">
        <f t="shared" si="81"/>
        <v>Stress</v>
      </c>
      <c r="N600" t="s">
        <v>475</v>
      </c>
      <c r="O600" t="s">
        <v>707</v>
      </c>
      <c r="R600" t="s">
        <v>408</v>
      </c>
      <c r="S600" t="s">
        <v>701</v>
      </c>
      <c r="T600" t="s">
        <v>695</v>
      </c>
      <c r="U600" t="s">
        <v>609</v>
      </c>
      <c r="V600" s="1"/>
      <c r="W600" s="1"/>
      <c r="X600" s="1"/>
      <c r="Y600" s="1"/>
      <c r="Z600" s="1"/>
      <c r="AA600" s="1"/>
      <c r="AB600" s="1">
        <f>+AB588*(1-[81]Shimidzu_etal_2005_Fig1d!$B9/100)</f>
        <v>2.3699797267752311E-8</v>
      </c>
      <c r="AF600" s="2"/>
      <c r="AG600" s="2"/>
      <c r="AK600" t="s">
        <v>199</v>
      </c>
    </row>
    <row r="601" spans="1:37" hidden="1" x14ac:dyDescent="0.25">
      <c r="A601" t="s">
        <v>110</v>
      </c>
      <c r="B601" t="s">
        <v>118</v>
      </c>
      <c r="C601" t="s">
        <v>119</v>
      </c>
      <c r="D601" t="s">
        <v>123</v>
      </c>
      <c r="E601" t="s">
        <v>17</v>
      </c>
      <c r="F601" t="s">
        <v>114</v>
      </c>
      <c r="G601" t="s">
        <v>762</v>
      </c>
      <c r="H601" t="s">
        <v>762</v>
      </c>
      <c r="I601" t="s">
        <v>705</v>
      </c>
      <c r="J601">
        <f>3*30+60</f>
        <v>150</v>
      </c>
      <c r="K601" t="s">
        <v>663</v>
      </c>
      <c r="L601" t="s">
        <v>703</v>
      </c>
      <c r="M601" t="str">
        <f t="shared" si="81"/>
        <v>Stress</v>
      </c>
      <c r="N601" t="s">
        <v>474</v>
      </c>
      <c r="O601" t="s">
        <v>707</v>
      </c>
      <c r="R601" t="s">
        <v>408</v>
      </c>
      <c r="S601" t="s">
        <v>701</v>
      </c>
      <c r="T601" t="s">
        <v>695</v>
      </c>
      <c r="U601" t="s">
        <v>609</v>
      </c>
      <c r="V601" s="1"/>
      <c r="W601" s="1"/>
      <c r="X601" s="1"/>
      <c r="Y601" s="1"/>
      <c r="Z601" s="1"/>
      <c r="AA601" s="1"/>
      <c r="AB601" s="1">
        <f>+AB589*(1-[81]Shimidzu_etal_2005_Fig1d!$B10/100)</f>
        <v>3.2415958870529347E-8</v>
      </c>
      <c r="AF601" s="2"/>
      <c r="AG601" s="2"/>
      <c r="AK601" t="s">
        <v>199</v>
      </c>
    </row>
    <row r="602" spans="1:37" hidden="1" x14ac:dyDescent="0.25">
      <c r="A602" t="s">
        <v>110</v>
      </c>
      <c r="B602" t="s">
        <v>118</v>
      </c>
      <c r="C602" t="s">
        <v>119</v>
      </c>
      <c r="D602" t="s">
        <v>123</v>
      </c>
      <c r="E602" t="s">
        <v>17</v>
      </c>
      <c r="F602" t="s">
        <v>114</v>
      </c>
      <c r="G602" t="s">
        <v>762</v>
      </c>
      <c r="H602" t="s">
        <v>762</v>
      </c>
      <c r="I602" t="s">
        <v>705</v>
      </c>
      <c r="J602">
        <f>3*30+60+60</f>
        <v>210</v>
      </c>
      <c r="K602" t="s">
        <v>663</v>
      </c>
      <c r="L602" t="s">
        <v>703</v>
      </c>
      <c r="M602" t="str">
        <f t="shared" si="81"/>
        <v>Stress</v>
      </c>
      <c r="N602" t="s">
        <v>475</v>
      </c>
      <c r="O602" t="s">
        <v>707</v>
      </c>
      <c r="R602" t="s">
        <v>408</v>
      </c>
      <c r="S602" t="s">
        <v>701</v>
      </c>
      <c r="T602" t="s">
        <v>695</v>
      </c>
      <c r="U602" t="s">
        <v>609</v>
      </c>
      <c r="V602" s="1"/>
      <c r="W602" s="1"/>
      <c r="X602" s="1"/>
      <c r="Y602" s="1"/>
      <c r="Z602" s="1"/>
      <c r="AA602" s="1"/>
      <c r="AB602" s="1">
        <f>+AB590*(1-[81]Shimidzu_etal_2005_Fig1d!$B11/100)</f>
        <v>2.6600325961653112E-8</v>
      </c>
      <c r="AF602" s="2"/>
      <c r="AG602" s="2"/>
      <c r="AK602" t="s">
        <v>199</v>
      </c>
    </row>
    <row r="603" spans="1:37" hidden="1" x14ac:dyDescent="0.25">
      <c r="A603" t="s">
        <v>110</v>
      </c>
      <c r="B603" t="s">
        <v>121</v>
      </c>
      <c r="C603" t="s">
        <v>122</v>
      </c>
      <c r="D603" t="s">
        <v>123</v>
      </c>
      <c r="E603" t="s">
        <v>17</v>
      </c>
      <c r="F603" t="s">
        <v>114</v>
      </c>
      <c r="G603" t="s">
        <v>762</v>
      </c>
      <c r="H603" t="s">
        <v>762</v>
      </c>
      <c r="I603" t="s">
        <v>705</v>
      </c>
      <c r="J603">
        <f>3*30+60</f>
        <v>150</v>
      </c>
      <c r="K603" t="s">
        <v>663</v>
      </c>
      <c r="L603" t="s">
        <v>703</v>
      </c>
      <c r="M603" t="str">
        <f t="shared" si="81"/>
        <v>Stress</v>
      </c>
      <c r="N603" t="s">
        <v>474</v>
      </c>
      <c r="O603" t="s">
        <v>707</v>
      </c>
      <c r="R603" t="s">
        <v>408</v>
      </c>
      <c r="S603" t="s">
        <v>701</v>
      </c>
      <c r="T603" t="s">
        <v>695</v>
      </c>
      <c r="U603" t="s">
        <v>609</v>
      </c>
      <c r="V603" s="1"/>
      <c r="W603" s="1"/>
      <c r="X603" s="1"/>
      <c r="Y603" s="1"/>
      <c r="Z603" s="1"/>
      <c r="AA603" s="1"/>
      <c r="AB603" s="1">
        <f>+AB591*(1-[81]Shimidzu_etal_2005_Fig1d!$B12/100)</f>
        <v>9.4597781870701692E-8</v>
      </c>
      <c r="AF603" s="2"/>
      <c r="AG603" s="2"/>
      <c r="AK603" t="s">
        <v>199</v>
      </c>
    </row>
    <row r="604" spans="1:37" hidden="1" x14ac:dyDescent="0.25">
      <c r="A604" t="s">
        <v>110</v>
      </c>
      <c r="B604" t="s">
        <v>121</v>
      </c>
      <c r="C604" t="s">
        <v>122</v>
      </c>
      <c r="D604" t="s">
        <v>123</v>
      </c>
      <c r="E604" t="s">
        <v>17</v>
      </c>
      <c r="F604" t="s">
        <v>114</v>
      </c>
      <c r="G604" t="s">
        <v>762</v>
      </c>
      <c r="H604" t="s">
        <v>762</v>
      </c>
      <c r="I604" t="s">
        <v>705</v>
      </c>
      <c r="J604">
        <f>3*30+60+60</f>
        <v>210</v>
      </c>
      <c r="K604" t="s">
        <v>663</v>
      </c>
      <c r="L604" t="s">
        <v>703</v>
      </c>
      <c r="M604" t="str">
        <f t="shared" si="81"/>
        <v>Stress</v>
      </c>
      <c r="N604" t="s">
        <v>475</v>
      </c>
      <c r="O604" t="s">
        <v>707</v>
      </c>
      <c r="R604" t="s">
        <v>408</v>
      </c>
      <c r="S604" t="s">
        <v>701</v>
      </c>
      <c r="T604" t="s">
        <v>695</v>
      </c>
      <c r="U604" t="s">
        <v>609</v>
      </c>
      <c r="V604" s="1"/>
      <c r="W604" s="1"/>
      <c r="X604" s="1"/>
      <c r="Y604" s="1"/>
      <c r="Z604" s="1"/>
      <c r="AA604" s="1"/>
      <c r="AB604" s="1">
        <f>+AB592*(1-[81]Shimidzu_etal_2005_Fig1d!$B13/100)</f>
        <v>1.2285839218752021E-8</v>
      </c>
      <c r="AF604" s="2"/>
      <c r="AG604" s="2"/>
      <c r="AK604" t="s">
        <v>199</v>
      </c>
    </row>
    <row r="605" spans="1:37" hidden="1" x14ac:dyDescent="0.25">
      <c r="A605" t="s">
        <v>254</v>
      </c>
      <c r="B605" t="s">
        <v>255</v>
      </c>
      <c r="C605" t="s">
        <v>67</v>
      </c>
      <c r="D605" t="s">
        <v>68</v>
      </c>
      <c r="E605" t="s">
        <v>17</v>
      </c>
      <c r="F605" t="s">
        <v>69</v>
      </c>
      <c r="G605" t="s">
        <v>616</v>
      </c>
      <c r="H605" t="s">
        <v>760</v>
      </c>
      <c r="I605" t="s">
        <v>705</v>
      </c>
      <c r="J605">
        <f>+(6+6)*7</f>
        <v>84</v>
      </c>
      <c r="K605" t="s">
        <v>209</v>
      </c>
      <c r="L605" s="1" t="s">
        <v>349</v>
      </c>
      <c r="M605" t="s">
        <v>707</v>
      </c>
      <c r="P605" s="1"/>
      <c r="Q605" s="1"/>
      <c r="R605" t="s">
        <v>408</v>
      </c>
      <c r="S605" t="s">
        <v>701</v>
      </c>
      <c r="T605" t="s">
        <v>695</v>
      </c>
      <c r="U605" t="s">
        <v>609</v>
      </c>
      <c r="V605" s="1" t="s">
        <v>733</v>
      </c>
      <c r="W605" s="1">
        <f t="shared" ref="W605:W606" si="82">+AB605*AD605/10000</f>
        <v>4.9081624999999923E-9</v>
      </c>
      <c r="X605" s="1"/>
      <c r="AB605" s="1">
        <f>[82]Marjanovic_etal_2005_Fig1!C2</f>
        <v>5.4821428571428491E-6</v>
      </c>
      <c r="AD605" s="2">
        <f>895.3/100</f>
        <v>8.9529999999999994</v>
      </c>
      <c r="AK605" t="s">
        <v>44</v>
      </c>
    </row>
    <row r="606" spans="1:37" hidden="1" x14ac:dyDescent="0.25">
      <c r="A606" t="s">
        <v>254</v>
      </c>
      <c r="B606" t="s">
        <v>255</v>
      </c>
      <c r="C606" t="s">
        <v>67</v>
      </c>
      <c r="D606" t="s">
        <v>68</v>
      </c>
      <c r="E606" t="s">
        <v>17</v>
      </c>
      <c r="F606" t="s">
        <v>69</v>
      </c>
      <c r="G606" t="s">
        <v>616</v>
      </c>
      <c r="H606" t="s">
        <v>760</v>
      </c>
      <c r="I606" t="s">
        <v>705</v>
      </c>
      <c r="J606">
        <f>+(6+6)*7</f>
        <v>84</v>
      </c>
      <c r="K606" t="s">
        <v>209</v>
      </c>
      <c r="L606" s="1" t="s">
        <v>210</v>
      </c>
      <c r="M606" t="s">
        <v>707</v>
      </c>
      <c r="P606" s="1"/>
      <c r="Q606" s="1"/>
      <c r="R606" t="s">
        <v>408</v>
      </c>
      <c r="S606" t="s">
        <v>701</v>
      </c>
      <c r="T606" t="s">
        <v>695</v>
      </c>
      <c r="U606" t="s">
        <v>609</v>
      </c>
      <c r="V606" s="1" t="s">
        <v>733</v>
      </c>
      <c r="W606" s="1">
        <f t="shared" si="82"/>
        <v>3.7283464285714271E-9</v>
      </c>
      <c r="X606" s="1"/>
      <c r="Y606" s="1"/>
      <c r="AB606" s="1">
        <f>[82]Marjanovic_etal_2005_Fig1!C3</f>
        <v>3.4464285714285696E-6</v>
      </c>
      <c r="AC606" s="1"/>
      <c r="AD606" s="2">
        <f>1081.8/100</f>
        <v>10.818</v>
      </c>
      <c r="AK606" t="s">
        <v>44</v>
      </c>
    </row>
    <row r="607" spans="1:37" hidden="1" x14ac:dyDescent="0.25">
      <c r="A607" t="s">
        <v>722</v>
      </c>
      <c r="B607" t="s">
        <v>102</v>
      </c>
      <c r="C607" t="s">
        <v>75</v>
      </c>
      <c r="D607" t="s">
        <v>16</v>
      </c>
      <c r="E607" t="s">
        <v>17</v>
      </c>
      <c r="F607" t="s">
        <v>18</v>
      </c>
      <c r="G607" t="s">
        <v>18</v>
      </c>
      <c r="H607" t="s">
        <v>18</v>
      </c>
      <c r="I607" t="s">
        <v>704</v>
      </c>
      <c r="J607">
        <v>7</v>
      </c>
      <c r="K607" t="s">
        <v>756</v>
      </c>
      <c r="L607" t="s">
        <v>756</v>
      </c>
      <c r="M607" t="s">
        <v>756</v>
      </c>
      <c r="N607" s="1"/>
      <c r="P607" s="1"/>
      <c r="Q607" s="1"/>
      <c r="R607" t="s">
        <v>408</v>
      </c>
      <c r="S607" t="s">
        <v>701</v>
      </c>
      <c r="T607" t="s">
        <v>695</v>
      </c>
      <c r="U607" t="s">
        <v>610</v>
      </c>
      <c r="V607" s="1"/>
      <c r="W607" s="1"/>
      <c r="X607" s="1">
        <f>0.1075*0.000000001</f>
        <v>1.075E-10</v>
      </c>
      <c r="AA607" s="1"/>
      <c r="AD607" s="2"/>
      <c r="AG607" s="2"/>
      <c r="AK607" t="s">
        <v>348</v>
      </c>
    </row>
    <row r="608" spans="1:37" hidden="1" x14ac:dyDescent="0.25">
      <c r="A608" t="s">
        <v>722</v>
      </c>
      <c r="B608" t="s">
        <v>102</v>
      </c>
      <c r="C608" t="s">
        <v>75</v>
      </c>
      <c r="D608" t="s">
        <v>16</v>
      </c>
      <c r="E608" t="s">
        <v>17</v>
      </c>
      <c r="F608" t="s">
        <v>18</v>
      </c>
      <c r="G608" t="s">
        <v>18</v>
      </c>
      <c r="H608" t="s">
        <v>18</v>
      </c>
      <c r="I608" t="s">
        <v>704</v>
      </c>
      <c r="J608">
        <v>7</v>
      </c>
      <c r="K608" t="s">
        <v>756</v>
      </c>
      <c r="L608" t="s">
        <v>756</v>
      </c>
      <c r="M608" t="s">
        <v>756</v>
      </c>
      <c r="N608" s="1"/>
      <c r="P608" s="1"/>
      <c r="Q608" s="1"/>
      <c r="R608" t="s">
        <v>408</v>
      </c>
      <c r="S608" t="s">
        <v>701</v>
      </c>
      <c r="T608" t="s">
        <v>695</v>
      </c>
      <c r="U608" t="s">
        <v>609</v>
      </c>
      <c r="V608" s="1"/>
      <c r="W608" s="1"/>
      <c r="X608" s="1">
        <f>0.173888888888889*0.000000001</f>
        <v>1.7388888888888902E-10</v>
      </c>
      <c r="AA608" s="1"/>
      <c r="AD608" s="2"/>
      <c r="AG608" s="2"/>
      <c r="AK608" t="s">
        <v>355</v>
      </c>
    </row>
    <row r="609" spans="1:37" hidden="1" x14ac:dyDescent="0.25">
      <c r="A609" t="s">
        <v>792</v>
      </c>
      <c r="B609" t="s">
        <v>766</v>
      </c>
      <c r="C609" t="s">
        <v>767</v>
      </c>
      <c r="D609" t="s">
        <v>574</v>
      </c>
      <c r="E609" t="s">
        <v>17</v>
      </c>
      <c r="F609" t="s">
        <v>776</v>
      </c>
      <c r="G609" t="s">
        <v>776</v>
      </c>
      <c r="H609" t="s">
        <v>707</v>
      </c>
      <c r="I609" t="s">
        <v>775</v>
      </c>
      <c r="J609">
        <f>10+AVERAGE(20,25)</f>
        <v>32.5</v>
      </c>
      <c r="K609" t="s">
        <v>81</v>
      </c>
      <c r="L609" s="1" t="s">
        <v>36</v>
      </c>
      <c r="M609" t="str">
        <f t="shared" ref="M609" si="83">+IF(L609 = "Control", "Control", "Stress")</f>
        <v>Control</v>
      </c>
      <c r="N609" s="1"/>
      <c r="P609" s="1"/>
      <c r="Q609" s="1"/>
      <c r="R609" t="s">
        <v>408</v>
      </c>
      <c r="S609" t="s">
        <v>701</v>
      </c>
      <c r="T609" t="s">
        <v>695</v>
      </c>
      <c r="U609" t="s">
        <v>609</v>
      </c>
      <c r="V609" s="1"/>
      <c r="W609" s="1"/>
      <c r="X609" s="1"/>
      <c r="Y609" s="1">
        <f>186.6/3600*0.000001</f>
        <v>5.1833333333333328E-8</v>
      </c>
      <c r="AA609" s="1"/>
      <c r="AD609" s="2"/>
      <c r="AG609" s="2"/>
      <c r="AK609" t="s">
        <v>199</v>
      </c>
    </row>
    <row r="610" spans="1:37" hidden="1" x14ac:dyDescent="0.25">
      <c r="A610" t="s">
        <v>792</v>
      </c>
      <c r="B610" t="s">
        <v>766</v>
      </c>
      <c r="C610" t="s">
        <v>767</v>
      </c>
      <c r="D610" t="s">
        <v>574</v>
      </c>
      <c r="E610" t="s">
        <v>17</v>
      </c>
      <c r="F610" t="s">
        <v>776</v>
      </c>
      <c r="G610" t="s">
        <v>776</v>
      </c>
      <c r="H610" t="s">
        <v>707</v>
      </c>
      <c r="I610" t="s">
        <v>775</v>
      </c>
      <c r="J610">
        <f t="shared" ref="J610:J613" si="84">10+AVERAGE(20,25)</f>
        <v>32.5</v>
      </c>
      <c r="K610" t="s">
        <v>81</v>
      </c>
      <c r="L610" s="1" t="s">
        <v>794</v>
      </c>
      <c r="M610" t="s">
        <v>791</v>
      </c>
      <c r="N610" s="1"/>
      <c r="P610" s="1"/>
      <c r="Q610" s="1"/>
      <c r="R610" t="s">
        <v>408</v>
      </c>
      <c r="S610" t="s">
        <v>701</v>
      </c>
      <c r="T610" t="s">
        <v>695</v>
      </c>
      <c r="U610" t="s">
        <v>609</v>
      </c>
      <c r="V610" s="1"/>
      <c r="W610" s="1"/>
      <c r="X610" s="1"/>
      <c r="Y610" s="1">
        <f>+$Y$609-$Y$609*21.4/100</f>
        <v>4.0740999999999994E-8</v>
      </c>
      <c r="AA610" s="1"/>
      <c r="AD610" s="2"/>
      <c r="AG610" s="2"/>
      <c r="AK610" t="s">
        <v>199</v>
      </c>
    </row>
    <row r="611" spans="1:37" hidden="1" x14ac:dyDescent="0.25">
      <c r="A611" t="s">
        <v>792</v>
      </c>
      <c r="B611" t="s">
        <v>766</v>
      </c>
      <c r="C611" t="s">
        <v>767</v>
      </c>
      <c r="D611" t="s">
        <v>574</v>
      </c>
      <c r="E611" t="s">
        <v>17</v>
      </c>
      <c r="F611" t="s">
        <v>776</v>
      </c>
      <c r="G611" t="s">
        <v>776</v>
      </c>
      <c r="H611" t="s">
        <v>707</v>
      </c>
      <c r="I611" t="s">
        <v>775</v>
      </c>
      <c r="J611">
        <f t="shared" si="84"/>
        <v>32.5</v>
      </c>
      <c r="K611" t="s">
        <v>81</v>
      </c>
      <c r="L611" s="1" t="s">
        <v>793</v>
      </c>
      <c r="M611" t="s">
        <v>791</v>
      </c>
      <c r="N611" s="1"/>
      <c r="P611" s="1"/>
      <c r="Q611" s="1"/>
      <c r="R611" t="s">
        <v>408</v>
      </c>
      <c r="S611" t="s">
        <v>701</v>
      </c>
      <c r="T611" t="s">
        <v>695</v>
      </c>
      <c r="U611" t="s">
        <v>609</v>
      </c>
      <c r="V611" s="1"/>
      <c r="W611" s="1"/>
      <c r="X611" s="1"/>
      <c r="Y611" s="1">
        <f>+$Y$609-$Y$609*46.2/100</f>
        <v>2.7886333333333332E-8</v>
      </c>
      <c r="AA611" s="1"/>
      <c r="AD611" s="2"/>
      <c r="AG611" s="2"/>
      <c r="AK611" t="s">
        <v>199</v>
      </c>
    </row>
    <row r="612" spans="1:37" hidden="1" x14ac:dyDescent="0.25">
      <c r="A612" t="s">
        <v>792</v>
      </c>
      <c r="B612" t="s">
        <v>766</v>
      </c>
      <c r="C612" t="s">
        <v>767</v>
      </c>
      <c r="D612" t="s">
        <v>574</v>
      </c>
      <c r="E612" t="s">
        <v>17</v>
      </c>
      <c r="F612" t="s">
        <v>776</v>
      </c>
      <c r="G612" t="s">
        <v>776</v>
      </c>
      <c r="H612" t="s">
        <v>707</v>
      </c>
      <c r="I612" t="s">
        <v>775</v>
      </c>
      <c r="J612">
        <f t="shared" si="84"/>
        <v>32.5</v>
      </c>
      <c r="K612" t="s">
        <v>81</v>
      </c>
      <c r="L612" s="1" t="s">
        <v>445</v>
      </c>
      <c r="M612" t="s">
        <v>791</v>
      </c>
      <c r="N612" s="1"/>
      <c r="P612" s="1"/>
      <c r="Q612" s="1"/>
      <c r="R612" t="s">
        <v>408</v>
      </c>
      <c r="S612" t="s">
        <v>701</v>
      </c>
      <c r="T612" t="s">
        <v>695</v>
      </c>
      <c r="U612" t="s">
        <v>609</v>
      </c>
      <c r="V612" s="1"/>
      <c r="W612" s="1"/>
      <c r="X612" s="1"/>
      <c r="Y612" s="1">
        <f>+$Y$609-$Y$609*61.6/100</f>
        <v>1.9903999999999997E-8</v>
      </c>
      <c r="AA612" s="1"/>
      <c r="AD612" s="2"/>
      <c r="AG612" s="2"/>
      <c r="AK612" t="s">
        <v>199</v>
      </c>
    </row>
    <row r="613" spans="1:37" hidden="1" x14ac:dyDescent="0.25">
      <c r="A613" t="s">
        <v>792</v>
      </c>
      <c r="B613" t="s">
        <v>766</v>
      </c>
      <c r="C613" t="s">
        <v>767</v>
      </c>
      <c r="D613" t="s">
        <v>574</v>
      </c>
      <c r="E613" t="s">
        <v>17</v>
      </c>
      <c r="F613" t="s">
        <v>776</v>
      </c>
      <c r="G613" t="s">
        <v>776</v>
      </c>
      <c r="H613" t="s">
        <v>707</v>
      </c>
      <c r="I613" t="s">
        <v>775</v>
      </c>
      <c r="J613">
        <f t="shared" si="84"/>
        <v>32.5</v>
      </c>
      <c r="K613" t="s">
        <v>81</v>
      </c>
      <c r="L613" s="1" t="s">
        <v>550</v>
      </c>
      <c r="M613" t="s">
        <v>791</v>
      </c>
      <c r="N613" s="1"/>
      <c r="P613" s="1"/>
      <c r="Q613" s="1"/>
      <c r="R613" t="s">
        <v>408</v>
      </c>
      <c r="S613" t="s">
        <v>701</v>
      </c>
      <c r="T613" t="s">
        <v>695</v>
      </c>
      <c r="U613" t="s">
        <v>609</v>
      </c>
      <c r="V613" s="1"/>
      <c r="W613" s="1"/>
      <c r="X613" s="1"/>
      <c r="Y613" s="1">
        <f>+$Y$609-$Y$609*70.1/100</f>
        <v>1.5498166666666669E-8</v>
      </c>
      <c r="AA613" s="1"/>
      <c r="AD613" s="2"/>
      <c r="AG613" s="2"/>
      <c r="AK613" t="s">
        <v>199</v>
      </c>
    </row>
    <row r="614" spans="1:37" hidden="1" x14ac:dyDescent="0.25">
      <c r="A614" t="s">
        <v>571</v>
      </c>
      <c r="B614" t="s">
        <v>125</v>
      </c>
      <c r="C614" t="s">
        <v>67</v>
      </c>
      <c r="D614" t="s">
        <v>68</v>
      </c>
      <c r="E614" t="s">
        <v>17</v>
      </c>
      <c r="F614" t="s">
        <v>126</v>
      </c>
      <c r="G614" t="s">
        <v>616</v>
      </c>
      <c r="H614" t="s">
        <v>760</v>
      </c>
      <c r="I614" t="s">
        <v>705</v>
      </c>
      <c r="J614">
        <f t="shared" ref="J614:J619" si="85">+(6+2)*7</f>
        <v>56</v>
      </c>
      <c r="K614" t="s">
        <v>402</v>
      </c>
      <c r="L614" s="1" t="s">
        <v>36</v>
      </c>
      <c r="M614" t="str">
        <f t="shared" ref="M614:M645" si="86">+IF(L614 = "Control", "Control", "Stress")</f>
        <v>Control</v>
      </c>
      <c r="N614" s="1"/>
      <c r="P614" s="1"/>
      <c r="Q614" s="1"/>
      <c r="R614" t="s">
        <v>408</v>
      </c>
      <c r="S614" t="s">
        <v>701</v>
      </c>
      <c r="T614" t="s">
        <v>695</v>
      </c>
      <c r="U614" t="s">
        <v>609</v>
      </c>
      <c r="V614" s="1"/>
      <c r="W614" s="1"/>
      <c r="X614" s="1"/>
      <c r="AA614" s="1">
        <f>'[83]Voicu&amp;Zwiazek_2004_Fig4'!B2</f>
        <v>5.7857142857142802E-10</v>
      </c>
      <c r="AC614" s="1"/>
      <c r="AD614" s="2"/>
      <c r="AK614" t="s">
        <v>199</v>
      </c>
    </row>
    <row r="615" spans="1:37" hidden="1" x14ac:dyDescent="0.25">
      <c r="A615" t="s">
        <v>571</v>
      </c>
      <c r="B615" t="s">
        <v>125</v>
      </c>
      <c r="C615" t="s">
        <v>67</v>
      </c>
      <c r="D615" t="s">
        <v>68</v>
      </c>
      <c r="E615" t="s">
        <v>17</v>
      </c>
      <c r="F615" t="s">
        <v>126</v>
      </c>
      <c r="G615" t="s">
        <v>616</v>
      </c>
      <c r="H615" t="s">
        <v>760</v>
      </c>
      <c r="I615" t="s">
        <v>705</v>
      </c>
      <c r="J615">
        <f t="shared" si="85"/>
        <v>56</v>
      </c>
      <c r="K615" t="s">
        <v>402</v>
      </c>
      <c r="L615" s="1" t="s">
        <v>36</v>
      </c>
      <c r="M615" t="str">
        <f t="shared" si="86"/>
        <v>Control</v>
      </c>
      <c r="N615" s="1"/>
      <c r="P615" s="1"/>
      <c r="Q615" s="1"/>
      <c r="R615" t="s">
        <v>408</v>
      </c>
      <c r="S615" t="s">
        <v>701</v>
      </c>
      <c r="T615" t="s">
        <v>695</v>
      </c>
      <c r="U615" t="s">
        <v>609</v>
      </c>
      <c r="V615" s="1"/>
      <c r="W615" s="1"/>
      <c r="X615" s="1"/>
      <c r="AA615" s="1">
        <f>'[83]Voicu&amp;Zwiazek_2004_Fig4'!B3</f>
        <v>5.7272727272727195E-10</v>
      </c>
      <c r="AD615" s="2"/>
      <c r="AK615" t="s">
        <v>199</v>
      </c>
    </row>
    <row r="616" spans="1:37" hidden="1" x14ac:dyDescent="0.25">
      <c r="A616" t="s">
        <v>571</v>
      </c>
      <c r="B616" t="s">
        <v>125</v>
      </c>
      <c r="C616" t="s">
        <v>67</v>
      </c>
      <c r="D616" t="s">
        <v>68</v>
      </c>
      <c r="E616" t="s">
        <v>17</v>
      </c>
      <c r="F616" t="s">
        <v>126</v>
      </c>
      <c r="G616" t="s">
        <v>616</v>
      </c>
      <c r="H616" t="s">
        <v>760</v>
      </c>
      <c r="I616" t="s">
        <v>705</v>
      </c>
      <c r="J616">
        <f t="shared" si="85"/>
        <v>56</v>
      </c>
      <c r="K616" t="s">
        <v>402</v>
      </c>
      <c r="L616" s="1" t="s">
        <v>36</v>
      </c>
      <c r="M616" t="str">
        <f t="shared" si="86"/>
        <v>Control</v>
      </c>
      <c r="N616" s="1"/>
      <c r="P616" s="1"/>
      <c r="Q616" s="1"/>
      <c r="R616" t="s">
        <v>408</v>
      </c>
      <c r="S616" t="s">
        <v>701</v>
      </c>
      <c r="T616" t="s">
        <v>695</v>
      </c>
      <c r="U616" t="s">
        <v>609</v>
      </c>
      <c r="V616" s="1"/>
      <c r="W616" s="1"/>
      <c r="X616" s="1"/>
      <c r="AA616" s="1">
        <f>'[83]Voicu&amp;Zwiazek_2004_Fig4'!B4</f>
        <v>7.2662337662337603E-10</v>
      </c>
      <c r="AD616" s="2"/>
      <c r="AK616" t="s">
        <v>199</v>
      </c>
    </row>
    <row r="617" spans="1:37" hidden="1" x14ac:dyDescent="0.25">
      <c r="A617" t="s">
        <v>571</v>
      </c>
      <c r="B617" t="s">
        <v>125</v>
      </c>
      <c r="C617" t="s">
        <v>67</v>
      </c>
      <c r="D617" t="s">
        <v>68</v>
      </c>
      <c r="E617" t="s">
        <v>17</v>
      </c>
      <c r="F617" t="s">
        <v>126</v>
      </c>
      <c r="G617" t="s">
        <v>616</v>
      </c>
      <c r="H617" t="s">
        <v>760</v>
      </c>
      <c r="I617" t="s">
        <v>705</v>
      </c>
      <c r="J617">
        <f t="shared" si="85"/>
        <v>56</v>
      </c>
      <c r="K617" t="s">
        <v>402</v>
      </c>
      <c r="L617" t="s">
        <v>703</v>
      </c>
      <c r="M617" t="str">
        <f t="shared" si="86"/>
        <v>Stress</v>
      </c>
      <c r="N617" s="1"/>
      <c r="P617" s="1"/>
      <c r="Q617" s="1"/>
      <c r="R617" t="s">
        <v>408</v>
      </c>
      <c r="S617" t="s">
        <v>701</v>
      </c>
      <c r="T617" t="s">
        <v>695</v>
      </c>
      <c r="U617" t="s">
        <v>609</v>
      </c>
      <c r="V617" s="1"/>
      <c r="W617" s="1"/>
      <c r="X617" s="1"/>
      <c r="AA617" s="1">
        <f>'[83]Voicu&amp;Zwiazek_2004_Fig4'!B5</f>
        <v>9.9350649350649194E-11</v>
      </c>
      <c r="AD617" s="2"/>
      <c r="AK617" t="s">
        <v>199</v>
      </c>
    </row>
    <row r="618" spans="1:37" hidden="1" x14ac:dyDescent="0.25">
      <c r="A618" t="s">
        <v>571</v>
      </c>
      <c r="B618" t="s">
        <v>125</v>
      </c>
      <c r="C618" t="s">
        <v>67</v>
      </c>
      <c r="D618" t="s">
        <v>68</v>
      </c>
      <c r="E618" t="s">
        <v>17</v>
      </c>
      <c r="F618" t="s">
        <v>126</v>
      </c>
      <c r="G618" t="s">
        <v>616</v>
      </c>
      <c r="H618" t="s">
        <v>760</v>
      </c>
      <c r="I618" t="s">
        <v>705</v>
      </c>
      <c r="J618">
        <f t="shared" si="85"/>
        <v>56</v>
      </c>
      <c r="K618" t="s">
        <v>402</v>
      </c>
      <c r="L618" s="1" t="s">
        <v>36</v>
      </c>
      <c r="M618" t="str">
        <f t="shared" si="86"/>
        <v>Control</v>
      </c>
      <c r="N618" s="1"/>
      <c r="P618" s="1"/>
      <c r="Q618" s="1"/>
      <c r="R618" t="s">
        <v>408</v>
      </c>
      <c r="S618" t="s">
        <v>701</v>
      </c>
      <c r="T618" t="s">
        <v>695</v>
      </c>
      <c r="U618" t="s">
        <v>609</v>
      </c>
      <c r="V618" s="1"/>
      <c r="W618" s="1"/>
      <c r="X618" s="1"/>
      <c r="AA618" s="1">
        <f>'[83]Voicu&amp;Zwiazek_2004_Fig4'!B6</f>
        <v>6.3116883116883098E-10</v>
      </c>
      <c r="AD618" s="2"/>
      <c r="AK618" t="s">
        <v>199</v>
      </c>
    </row>
    <row r="619" spans="1:37" hidden="1" x14ac:dyDescent="0.25">
      <c r="A619" t="s">
        <v>571</v>
      </c>
      <c r="B619" t="s">
        <v>125</v>
      </c>
      <c r="C619" t="s">
        <v>67</v>
      </c>
      <c r="D619" t="s">
        <v>68</v>
      </c>
      <c r="E619" t="s">
        <v>17</v>
      </c>
      <c r="F619" t="s">
        <v>126</v>
      </c>
      <c r="G619" t="s">
        <v>616</v>
      </c>
      <c r="H619" t="s">
        <v>760</v>
      </c>
      <c r="I619" t="s">
        <v>705</v>
      </c>
      <c r="J619">
        <f t="shared" si="85"/>
        <v>56</v>
      </c>
      <c r="K619" t="s">
        <v>402</v>
      </c>
      <c r="L619" t="s">
        <v>703</v>
      </c>
      <c r="M619" t="str">
        <f t="shared" si="86"/>
        <v>Stress</v>
      </c>
      <c r="N619" s="1"/>
      <c r="P619" s="1"/>
      <c r="Q619" s="1"/>
      <c r="R619" t="s">
        <v>408</v>
      </c>
      <c r="S619" t="s">
        <v>701</v>
      </c>
      <c r="T619" t="s">
        <v>695</v>
      </c>
      <c r="U619" t="s">
        <v>609</v>
      </c>
      <c r="V619" s="1"/>
      <c r="W619" s="1"/>
      <c r="X619" s="1"/>
      <c r="AA619" s="1">
        <f>'[83]Voicu&amp;Zwiazek_2004_Fig4'!B7</f>
        <v>7.4025974025973799E-11</v>
      </c>
      <c r="AD619" s="2"/>
      <c r="AK619" t="s">
        <v>199</v>
      </c>
    </row>
    <row r="620" spans="1:37" hidden="1" x14ac:dyDescent="0.25">
      <c r="A620" t="s">
        <v>256</v>
      </c>
      <c r="B620" t="s">
        <v>257</v>
      </c>
      <c r="C620" t="s">
        <v>258</v>
      </c>
      <c r="D620" t="s">
        <v>259</v>
      </c>
      <c r="E620" t="s">
        <v>17</v>
      </c>
      <c r="F620" t="s">
        <v>69</v>
      </c>
      <c r="G620" t="s">
        <v>616</v>
      </c>
      <c r="H620" t="s">
        <v>760</v>
      </c>
      <c r="I620" t="s">
        <v>705</v>
      </c>
      <c r="J620">
        <f>2*365</f>
        <v>730</v>
      </c>
      <c r="K620" t="s">
        <v>48</v>
      </c>
      <c r="L620" s="1" t="s">
        <v>36</v>
      </c>
      <c r="M620" t="str">
        <f t="shared" si="86"/>
        <v>Control</v>
      </c>
      <c r="N620" s="1"/>
      <c r="P620" s="1"/>
      <c r="Q620" s="1"/>
      <c r="R620" t="s">
        <v>408</v>
      </c>
      <c r="S620" t="s">
        <v>701</v>
      </c>
      <c r="T620" t="s">
        <v>695</v>
      </c>
      <c r="U620" t="s">
        <v>609</v>
      </c>
      <c r="V620" s="1" t="s">
        <v>733</v>
      </c>
      <c r="W620" s="1">
        <f t="shared" ref="W620:W625" si="87">+AB620*AD620/10000</f>
        <v>1.05E-8</v>
      </c>
      <c r="X620" s="1"/>
      <c r="AB620" s="1">
        <v>2.4999999999999999E-7</v>
      </c>
      <c r="AC620" s="1"/>
      <c r="AD620">
        <f>0.042*10000</f>
        <v>420</v>
      </c>
      <c r="AI620" s="5">
        <v>0.18099999999999999</v>
      </c>
      <c r="AK620" t="s">
        <v>44</v>
      </c>
    </row>
    <row r="621" spans="1:37" hidden="1" x14ac:dyDescent="0.25">
      <c r="A621" t="s">
        <v>256</v>
      </c>
      <c r="B621" t="s">
        <v>257</v>
      </c>
      <c r="C621" t="s">
        <v>258</v>
      </c>
      <c r="D621" t="s">
        <v>259</v>
      </c>
      <c r="E621" t="s">
        <v>17</v>
      </c>
      <c r="F621" t="s">
        <v>69</v>
      </c>
      <c r="G621" t="s">
        <v>616</v>
      </c>
      <c r="H621" t="s">
        <v>760</v>
      </c>
      <c r="I621" t="s">
        <v>705</v>
      </c>
      <c r="J621">
        <f>2*365</f>
        <v>730</v>
      </c>
      <c r="K621" t="s">
        <v>48</v>
      </c>
      <c r="L621" t="s">
        <v>473</v>
      </c>
      <c r="M621" t="str">
        <f t="shared" si="86"/>
        <v>Stress</v>
      </c>
      <c r="R621" t="s">
        <v>408</v>
      </c>
      <c r="S621" t="s">
        <v>701</v>
      </c>
      <c r="T621" t="s">
        <v>695</v>
      </c>
      <c r="U621" t="s">
        <v>609</v>
      </c>
      <c r="V621" s="1" t="s">
        <v>733</v>
      </c>
      <c r="W621" s="1">
        <f t="shared" si="87"/>
        <v>8.0000000000000005E-9</v>
      </c>
      <c r="X621" s="1"/>
      <c r="AB621" s="1">
        <v>1.6E-7</v>
      </c>
      <c r="AC621" s="1"/>
      <c r="AD621">
        <f>0.05*10000</f>
        <v>500</v>
      </c>
      <c r="AI621" s="5">
        <v>0.14899999999999999</v>
      </c>
      <c r="AK621" t="s">
        <v>44</v>
      </c>
    </row>
    <row r="622" spans="1:37" hidden="1" x14ac:dyDescent="0.25">
      <c r="A622" t="s">
        <v>256</v>
      </c>
      <c r="B622" t="s">
        <v>257</v>
      </c>
      <c r="C622" t="s">
        <v>258</v>
      </c>
      <c r="D622" t="s">
        <v>259</v>
      </c>
      <c r="E622" t="s">
        <v>17</v>
      </c>
      <c r="F622" t="s">
        <v>69</v>
      </c>
      <c r="G622" t="s">
        <v>616</v>
      </c>
      <c r="H622" t="s">
        <v>760</v>
      </c>
      <c r="I622" t="s">
        <v>705</v>
      </c>
      <c r="J622">
        <f>2*365</f>
        <v>730</v>
      </c>
      <c r="K622" t="s">
        <v>48</v>
      </c>
      <c r="L622" t="s">
        <v>473</v>
      </c>
      <c r="M622" t="str">
        <f t="shared" si="86"/>
        <v>Stress</v>
      </c>
      <c r="R622" t="s">
        <v>408</v>
      </c>
      <c r="S622" t="s">
        <v>701</v>
      </c>
      <c r="T622" t="s">
        <v>695</v>
      </c>
      <c r="U622" t="s">
        <v>609</v>
      </c>
      <c r="V622" s="1" t="s">
        <v>733</v>
      </c>
      <c r="W622" s="1">
        <f t="shared" si="87"/>
        <v>6.1600000000000011E-9</v>
      </c>
      <c r="X622" s="1"/>
      <c r="AB622" s="1">
        <v>1.4000000000000001E-7</v>
      </c>
      <c r="AC622" s="1"/>
      <c r="AD622">
        <f>0.044*10000</f>
        <v>440</v>
      </c>
      <c r="AI622" s="5">
        <v>0.14000000000000001</v>
      </c>
      <c r="AK622" t="s">
        <v>44</v>
      </c>
    </row>
    <row r="623" spans="1:37" hidden="1" x14ac:dyDescent="0.25">
      <c r="A623" t="s">
        <v>256</v>
      </c>
      <c r="B623" t="s">
        <v>257</v>
      </c>
      <c r="C623" t="s">
        <v>258</v>
      </c>
      <c r="D623" t="s">
        <v>259</v>
      </c>
      <c r="E623" t="s">
        <v>17</v>
      </c>
      <c r="F623" t="s">
        <v>69</v>
      </c>
      <c r="G623" t="s">
        <v>616</v>
      </c>
      <c r="H623" t="s">
        <v>760</v>
      </c>
      <c r="I623" t="s">
        <v>705</v>
      </c>
      <c r="J623">
        <f>2*365</f>
        <v>730</v>
      </c>
      <c r="K623" t="s">
        <v>48</v>
      </c>
      <c r="L623" s="1" t="s">
        <v>476</v>
      </c>
      <c r="M623" t="str">
        <f t="shared" si="86"/>
        <v>Stress</v>
      </c>
      <c r="N623" s="1"/>
      <c r="P623" s="1"/>
      <c r="Q623" s="1"/>
      <c r="R623" t="s">
        <v>408</v>
      </c>
      <c r="S623" t="s">
        <v>701</v>
      </c>
      <c r="T623" t="s">
        <v>695</v>
      </c>
      <c r="U623" t="s">
        <v>609</v>
      </c>
      <c r="V623" s="1" t="s">
        <v>733</v>
      </c>
      <c r="W623" s="1">
        <f t="shared" si="87"/>
        <v>2.9999999999999996E-9</v>
      </c>
      <c r="X623" s="1"/>
      <c r="AB623" s="1">
        <v>7.4999999999999997E-8</v>
      </c>
      <c r="AC623" s="1"/>
      <c r="AD623">
        <f>0.04*10000</f>
        <v>400</v>
      </c>
      <c r="AI623" s="5">
        <v>0.16</v>
      </c>
      <c r="AK623" t="s">
        <v>44</v>
      </c>
    </row>
    <row r="624" spans="1:37" hidden="1" x14ac:dyDescent="0.25">
      <c r="A624" t="s">
        <v>124</v>
      </c>
      <c r="B624" t="s">
        <v>125</v>
      </c>
      <c r="C624" t="s">
        <v>67</v>
      </c>
      <c r="D624" t="s">
        <v>68</v>
      </c>
      <c r="E624" t="s">
        <v>17</v>
      </c>
      <c r="F624" t="s">
        <v>126</v>
      </c>
      <c r="G624" t="s">
        <v>616</v>
      </c>
      <c r="H624" t="s">
        <v>760</v>
      </c>
      <c r="I624" t="s">
        <v>705</v>
      </c>
      <c r="J624">
        <f>7*6+1*30</f>
        <v>72</v>
      </c>
      <c r="K624" t="s">
        <v>48</v>
      </c>
      <c r="L624" t="s">
        <v>36</v>
      </c>
      <c r="M624" t="str">
        <f t="shared" si="86"/>
        <v>Control</v>
      </c>
      <c r="R624" t="s">
        <v>408</v>
      </c>
      <c r="S624" t="s">
        <v>701</v>
      </c>
      <c r="T624" t="s">
        <v>695</v>
      </c>
      <c r="U624" t="s">
        <v>609</v>
      </c>
      <c r="V624" s="1" t="s">
        <v>733</v>
      </c>
      <c r="W624" s="1">
        <f t="shared" si="87"/>
        <v>5.1173221757322105E-10</v>
      </c>
      <c r="X624" s="1"/>
      <c r="Y624" s="1"/>
      <c r="Z624" s="1"/>
      <c r="AA624" s="1"/>
      <c r="AB624" s="1">
        <f>'[84]Siemens&amp;Zwiazek_2004_Fig1'!B2</f>
        <v>7.0292887029288606E-8</v>
      </c>
      <c r="AD624">
        <v>72.8</v>
      </c>
      <c r="AF624" s="2"/>
      <c r="AG624" s="2"/>
      <c r="AK624" t="s">
        <v>199</v>
      </c>
    </row>
    <row r="625" spans="1:37" hidden="1" x14ac:dyDescent="0.25">
      <c r="A625" t="s">
        <v>124</v>
      </c>
      <c r="B625" t="s">
        <v>125</v>
      </c>
      <c r="C625" t="s">
        <v>67</v>
      </c>
      <c r="D625" t="s">
        <v>68</v>
      </c>
      <c r="E625" t="s">
        <v>17</v>
      </c>
      <c r="F625" t="s">
        <v>126</v>
      </c>
      <c r="G625" t="s">
        <v>616</v>
      </c>
      <c r="H625" t="s">
        <v>760</v>
      </c>
      <c r="I625" t="s">
        <v>705</v>
      </c>
      <c r="J625">
        <f>7*6+1*30</f>
        <v>72</v>
      </c>
      <c r="K625" t="s">
        <v>48</v>
      </c>
      <c r="L625" s="1" t="s">
        <v>476</v>
      </c>
      <c r="M625" t="str">
        <f t="shared" si="86"/>
        <v>Stress</v>
      </c>
      <c r="N625" s="1"/>
      <c r="P625" s="1"/>
      <c r="Q625" s="1"/>
      <c r="R625" t="s">
        <v>408</v>
      </c>
      <c r="S625" t="s">
        <v>701</v>
      </c>
      <c r="T625" t="s">
        <v>695</v>
      </c>
      <c r="U625" t="s">
        <v>609</v>
      </c>
      <c r="V625" s="1" t="s">
        <v>733</v>
      </c>
      <c r="W625" s="1">
        <f t="shared" si="87"/>
        <v>1.8658995815899573E-10</v>
      </c>
      <c r="X625" s="1"/>
      <c r="Y625" s="1"/>
      <c r="Z625" s="1"/>
      <c r="AA625" s="1"/>
      <c r="AB625" s="1">
        <f>'[84]Siemens&amp;Zwiazek_2004_Fig1'!B4</f>
        <v>3.1380753138075303E-8</v>
      </c>
      <c r="AD625">
        <v>59.46</v>
      </c>
      <c r="AF625" s="2"/>
      <c r="AG625" s="2"/>
      <c r="AK625" t="s">
        <v>199</v>
      </c>
    </row>
    <row r="626" spans="1:37" hidden="1" x14ac:dyDescent="0.25">
      <c r="A626" t="s">
        <v>567</v>
      </c>
      <c r="B626" t="s">
        <v>50</v>
      </c>
      <c r="C626" t="s">
        <v>51</v>
      </c>
      <c r="D626" t="s">
        <v>16</v>
      </c>
      <c r="E626" t="s">
        <v>29</v>
      </c>
      <c r="F626" t="s">
        <v>30</v>
      </c>
      <c r="G626" t="s">
        <v>30</v>
      </c>
      <c r="H626" t="s">
        <v>30</v>
      </c>
      <c r="I626" t="s">
        <v>704</v>
      </c>
      <c r="J626">
        <f t="shared" ref="J626:J631" si="88">21+3</f>
        <v>24</v>
      </c>
      <c r="K626" t="s">
        <v>91</v>
      </c>
      <c r="L626" s="1" t="s">
        <v>36</v>
      </c>
      <c r="M626" t="str">
        <f t="shared" si="86"/>
        <v>Control</v>
      </c>
      <c r="N626" s="1"/>
      <c r="P626" s="1"/>
      <c r="Q626" s="1"/>
      <c r="R626" t="s">
        <v>408</v>
      </c>
      <c r="S626" t="s">
        <v>701</v>
      </c>
      <c r="T626" t="s">
        <v>695</v>
      </c>
      <c r="U626" t="s">
        <v>609</v>
      </c>
      <c r="V626" s="1"/>
      <c r="W626" s="1"/>
      <c r="X626" s="1">
        <f>[85]Melkonian_etal_2004_Fig1d!B2</f>
        <v>1.0136518771331E-9</v>
      </c>
      <c r="Y626" s="1"/>
      <c r="Z626" s="1"/>
      <c r="AA626" s="1"/>
      <c r="AF626" s="2"/>
      <c r="AG626" s="2"/>
      <c r="AK626" t="s">
        <v>199</v>
      </c>
    </row>
    <row r="627" spans="1:37" hidden="1" x14ac:dyDescent="0.25">
      <c r="A627" t="s">
        <v>567</v>
      </c>
      <c r="B627" t="s">
        <v>50</v>
      </c>
      <c r="C627" t="s">
        <v>51</v>
      </c>
      <c r="D627" t="s">
        <v>16</v>
      </c>
      <c r="E627" t="s">
        <v>29</v>
      </c>
      <c r="F627" t="s">
        <v>30</v>
      </c>
      <c r="G627" t="s">
        <v>30</v>
      </c>
      <c r="H627" t="s">
        <v>30</v>
      </c>
      <c r="I627" t="s">
        <v>704</v>
      </c>
      <c r="J627">
        <f t="shared" si="88"/>
        <v>24</v>
      </c>
      <c r="K627" t="s">
        <v>91</v>
      </c>
      <c r="L627" s="1" t="s">
        <v>36</v>
      </c>
      <c r="M627" t="str">
        <f t="shared" si="86"/>
        <v>Control</v>
      </c>
      <c r="N627" s="1"/>
      <c r="P627" s="1"/>
      <c r="Q627" s="1"/>
      <c r="R627" t="s">
        <v>408</v>
      </c>
      <c r="S627" t="s">
        <v>701</v>
      </c>
      <c r="T627" t="s">
        <v>695</v>
      </c>
      <c r="U627" t="s">
        <v>609</v>
      </c>
      <c r="V627" s="1"/>
      <c r="W627" s="1"/>
      <c r="X627" s="1">
        <f>[85]Melkonian_etal_2004_Fig1d!B3</f>
        <v>1.0085324232081901E-9</v>
      </c>
      <c r="Y627" s="1"/>
      <c r="Z627" s="1"/>
      <c r="AA627" s="1"/>
      <c r="AF627" s="2"/>
      <c r="AG627" s="2"/>
      <c r="AK627" t="s">
        <v>199</v>
      </c>
    </row>
    <row r="628" spans="1:37" hidden="1" x14ac:dyDescent="0.25">
      <c r="A628" t="s">
        <v>567</v>
      </c>
      <c r="B628" t="s">
        <v>50</v>
      </c>
      <c r="C628" t="s">
        <v>51</v>
      </c>
      <c r="D628" t="s">
        <v>16</v>
      </c>
      <c r="E628" t="s">
        <v>29</v>
      </c>
      <c r="F628" t="s">
        <v>30</v>
      </c>
      <c r="G628" t="s">
        <v>30</v>
      </c>
      <c r="H628" t="s">
        <v>30</v>
      </c>
      <c r="I628" t="s">
        <v>704</v>
      </c>
      <c r="J628">
        <f t="shared" si="88"/>
        <v>24</v>
      </c>
      <c r="K628" t="s">
        <v>91</v>
      </c>
      <c r="L628" s="1" t="s">
        <v>36</v>
      </c>
      <c r="M628" t="str">
        <f t="shared" si="86"/>
        <v>Control</v>
      </c>
      <c r="N628" s="1"/>
      <c r="P628" s="1"/>
      <c r="Q628" s="1"/>
      <c r="R628" t="s">
        <v>408</v>
      </c>
      <c r="S628" t="s">
        <v>701</v>
      </c>
      <c r="T628" t="s">
        <v>695</v>
      </c>
      <c r="U628" t="s">
        <v>609</v>
      </c>
      <c r="V628" s="1"/>
      <c r="W628" s="1"/>
      <c r="X628" s="1">
        <f>[85]Melkonian_etal_2004_Fig1d!B4</f>
        <v>9.3686006825938504E-10</v>
      </c>
      <c r="Y628" s="1"/>
      <c r="Z628" s="1"/>
      <c r="AA628" s="1"/>
      <c r="AF628" s="2"/>
      <c r="AG628" s="2"/>
      <c r="AK628" t="s">
        <v>199</v>
      </c>
    </row>
    <row r="629" spans="1:37" hidden="1" x14ac:dyDescent="0.25">
      <c r="A629" t="s">
        <v>567</v>
      </c>
      <c r="B629" t="s">
        <v>50</v>
      </c>
      <c r="C629" t="s">
        <v>51</v>
      </c>
      <c r="D629" t="s">
        <v>16</v>
      </c>
      <c r="E629" t="s">
        <v>29</v>
      </c>
      <c r="F629" t="s">
        <v>30</v>
      </c>
      <c r="G629" t="s">
        <v>30</v>
      </c>
      <c r="H629" t="s">
        <v>30</v>
      </c>
      <c r="I629" t="s">
        <v>704</v>
      </c>
      <c r="J629">
        <f t="shared" si="88"/>
        <v>24</v>
      </c>
      <c r="K629" t="s">
        <v>91</v>
      </c>
      <c r="L629" s="1" t="s">
        <v>568</v>
      </c>
      <c r="M629" t="str">
        <f t="shared" si="86"/>
        <v>Stress</v>
      </c>
      <c r="N629" s="1"/>
      <c r="P629" s="1"/>
      <c r="Q629" s="1"/>
      <c r="R629" t="s">
        <v>408</v>
      </c>
      <c r="S629" t="s">
        <v>701</v>
      </c>
      <c r="T629" t="s">
        <v>695</v>
      </c>
      <c r="U629" t="s">
        <v>609</v>
      </c>
      <c r="V629" s="1"/>
      <c r="W629" s="1"/>
      <c r="X629" s="1">
        <f>[85]Melkonian_etal_2004_Fig1d!B5</f>
        <v>2.15017064846418E-10</v>
      </c>
      <c r="Y629" s="1"/>
      <c r="Z629" s="1"/>
      <c r="AA629" s="1"/>
      <c r="AF629" s="2"/>
      <c r="AG629" s="2"/>
      <c r="AK629" t="s">
        <v>199</v>
      </c>
    </row>
    <row r="630" spans="1:37" hidden="1" x14ac:dyDescent="0.25">
      <c r="A630" t="s">
        <v>567</v>
      </c>
      <c r="B630" t="s">
        <v>50</v>
      </c>
      <c r="C630" t="s">
        <v>51</v>
      </c>
      <c r="D630" t="s">
        <v>16</v>
      </c>
      <c r="E630" t="s">
        <v>29</v>
      </c>
      <c r="F630" t="s">
        <v>30</v>
      </c>
      <c r="G630" t="s">
        <v>30</v>
      </c>
      <c r="H630" t="s">
        <v>30</v>
      </c>
      <c r="I630" t="s">
        <v>704</v>
      </c>
      <c r="J630">
        <f t="shared" si="88"/>
        <v>24</v>
      </c>
      <c r="K630" t="s">
        <v>91</v>
      </c>
      <c r="L630" s="1" t="s">
        <v>36</v>
      </c>
      <c r="M630" t="str">
        <f t="shared" si="86"/>
        <v>Control</v>
      </c>
      <c r="N630" s="1"/>
      <c r="P630" s="1"/>
      <c r="Q630" s="1"/>
      <c r="R630" t="s">
        <v>408</v>
      </c>
      <c r="S630" t="s">
        <v>701</v>
      </c>
      <c r="T630" t="s">
        <v>695</v>
      </c>
      <c r="U630" t="s">
        <v>609</v>
      </c>
      <c r="V630" s="1"/>
      <c r="W630" s="1"/>
      <c r="X630" s="1">
        <f>[85]Melkonian_etal_2004_Fig1d!B6</f>
        <v>9.0614334470989798E-10</v>
      </c>
      <c r="Y630" s="1"/>
      <c r="Z630" s="1"/>
      <c r="AA630" s="1"/>
      <c r="AF630" s="2"/>
      <c r="AG630" s="2"/>
      <c r="AK630" t="s">
        <v>199</v>
      </c>
    </row>
    <row r="631" spans="1:37" hidden="1" x14ac:dyDescent="0.25">
      <c r="A631" t="s">
        <v>567</v>
      </c>
      <c r="B631" t="s">
        <v>50</v>
      </c>
      <c r="C631" t="s">
        <v>51</v>
      </c>
      <c r="D631" t="s">
        <v>16</v>
      </c>
      <c r="E631" t="s">
        <v>29</v>
      </c>
      <c r="F631" t="s">
        <v>30</v>
      </c>
      <c r="G631" t="s">
        <v>30</v>
      </c>
      <c r="H631" t="s">
        <v>30</v>
      </c>
      <c r="I631" t="s">
        <v>704</v>
      </c>
      <c r="J631">
        <f t="shared" si="88"/>
        <v>24</v>
      </c>
      <c r="K631" t="s">
        <v>91</v>
      </c>
      <c r="L631" s="1" t="s">
        <v>568</v>
      </c>
      <c r="M631" t="str">
        <f t="shared" si="86"/>
        <v>Stress</v>
      </c>
      <c r="N631" s="1"/>
      <c r="P631" s="1"/>
      <c r="Q631" s="1"/>
      <c r="R631" t="s">
        <v>408</v>
      </c>
      <c r="S631" t="s">
        <v>701</v>
      </c>
      <c r="T631" t="s">
        <v>695</v>
      </c>
      <c r="U631" t="s">
        <v>609</v>
      </c>
      <c r="V631" s="1"/>
      <c r="W631" s="1"/>
      <c r="X631" s="1">
        <f>[85]Melkonian_etal_2004_Fig1d!B7</f>
        <v>3.9931740614334501E-10</v>
      </c>
      <c r="Y631" s="1"/>
      <c r="Z631" s="1"/>
      <c r="AA631" s="1"/>
      <c r="AF631" s="2"/>
      <c r="AG631" s="2"/>
      <c r="AK631" t="s">
        <v>199</v>
      </c>
    </row>
    <row r="632" spans="1:37" hidden="1" x14ac:dyDescent="0.25">
      <c r="A632" t="s">
        <v>325</v>
      </c>
      <c r="B632" t="s">
        <v>53</v>
      </c>
      <c r="C632" t="s">
        <v>54</v>
      </c>
      <c r="D632" t="s">
        <v>16</v>
      </c>
      <c r="E632" t="s">
        <v>17</v>
      </c>
      <c r="F632" t="s">
        <v>18</v>
      </c>
      <c r="G632" t="s">
        <v>18</v>
      </c>
      <c r="H632" t="s">
        <v>18</v>
      </c>
      <c r="I632" t="s">
        <v>704</v>
      </c>
      <c r="J632">
        <f>4*7</f>
        <v>28</v>
      </c>
      <c r="K632" t="s">
        <v>624</v>
      </c>
      <c r="L632" t="s">
        <v>36</v>
      </c>
      <c r="M632" t="str">
        <f t="shared" si="86"/>
        <v>Control</v>
      </c>
      <c r="N632" t="s">
        <v>71</v>
      </c>
      <c r="O632" t="s">
        <v>707</v>
      </c>
      <c r="R632" t="s">
        <v>408</v>
      </c>
      <c r="S632" t="s">
        <v>701</v>
      </c>
      <c r="T632" t="s">
        <v>695</v>
      </c>
      <c r="U632" t="s">
        <v>610</v>
      </c>
      <c r="V632" s="1"/>
      <c r="W632" s="1"/>
      <c r="X632" s="1"/>
      <c r="Y632" s="1"/>
      <c r="Z632" s="1"/>
      <c r="AA632" s="1"/>
      <c r="AB632" s="1">
        <v>4.4899999999999998E-8</v>
      </c>
      <c r="AF632" s="2"/>
      <c r="AG632" s="2"/>
      <c r="AK632" t="s">
        <v>348</v>
      </c>
    </row>
    <row r="633" spans="1:37" hidden="1" x14ac:dyDescent="0.25">
      <c r="A633" t="s">
        <v>325</v>
      </c>
      <c r="B633" t="s">
        <v>53</v>
      </c>
      <c r="C633" t="s">
        <v>54</v>
      </c>
      <c r="D633" t="s">
        <v>16</v>
      </c>
      <c r="E633" t="s">
        <v>17</v>
      </c>
      <c r="F633" t="s">
        <v>18</v>
      </c>
      <c r="G633" t="s">
        <v>18</v>
      </c>
      <c r="H633" t="s">
        <v>18</v>
      </c>
      <c r="I633" t="s">
        <v>704</v>
      </c>
      <c r="J633">
        <f>4*7</f>
        <v>28</v>
      </c>
      <c r="K633" t="s">
        <v>624</v>
      </c>
      <c r="L633" t="s">
        <v>36</v>
      </c>
      <c r="M633" t="str">
        <f t="shared" si="86"/>
        <v>Control</v>
      </c>
      <c r="N633" t="s">
        <v>351</v>
      </c>
      <c r="O633" t="s">
        <v>707</v>
      </c>
      <c r="R633" t="s">
        <v>408</v>
      </c>
      <c r="S633" t="s">
        <v>701</v>
      </c>
      <c r="T633" t="s">
        <v>695</v>
      </c>
      <c r="U633" t="s">
        <v>610</v>
      </c>
      <c r="V633" s="1"/>
      <c r="W633" s="1"/>
      <c r="X633" s="1"/>
      <c r="Y633" s="1"/>
      <c r="Z633" s="1"/>
      <c r="AA633" s="1"/>
      <c r="AB633" s="1">
        <v>4.14E-8</v>
      </c>
      <c r="AF633" s="2"/>
      <c r="AG633" s="2"/>
      <c r="AK633" t="s">
        <v>348</v>
      </c>
    </row>
    <row r="634" spans="1:37" hidden="1" x14ac:dyDescent="0.25">
      <c r="A634" t="s">
        <v>325</v>
      </c>
      <c r="B634" t="s">
        <v>53</v>
      </c>
      <c r="C634" t="s">
        <v>54</v>
      </c>
      <c r="D634" t="s">
        <v>16</v>
      </c>
      <c r="E634" t="s">
        <v>17</v>
      </c>
      <c r="F634" t="s">
        <v>18</v>
      </c>
      <c r="G634" t="s">
        <v>18</v>
      </c>
      <c r="H634" t="s">
        <v>18</v>
      </c>
      <c r="I634" t="s">
        <v>704</v>
      </c>
      <c r="J634">
        <f>4*7</f>
        <v>28</v>
      </c>
      <c r="K634" t="s">
        <v>624</v>
      </c>
      <c r="L634" t="s">
        <v>48</v>
      </c>
      <c r="M634" t="str">
        <f t="shared" si="86"/>
        <v>Stress</v>
      </c>
      <c r="N634" t="s">
        <v>71</v>
      </c>
      <c r="O634" t="s">
        <v>707</v>
      </c>
      <c r="R634" t="s">
        <v>408</v>
      </c>
      <c r="S634" t="s">
        <v>701</v>
      </c>
      <c r="T634" t="s">
        <v>695</v>
      </c>
      <c r="U634" t="s">
        <v>610</v>
      </c>
      <c r="V634" s="1"/>
      <c r="W634" s="1"/>
      <c r="X634" s="1"/>
      <c r="Y634" s="1"/>
      <c r="Z634" s="1"/>
      <c r="AA634" s="1"/>
      <c r="AB634" s="1">
        <v>5.1100000000000001E-8</v>
      </c>
      <c r="AF634" s="2"/>
      <c r="AG634" s="2"/>
      <c r="AK634" t="s">
        <v>348</v>
      </c>
    </row>
    <row r="635" spans="1:37" hidden="1" x14ac:dyDescent="0.25">
      <c r="A635" t="s">
        <v>325</v>
      </c>
      <c r="B635" t="s">
        <v>53</v>
      </c>
      <c r="C635" t="s">
        <v>54</v>
      </c>
      <c r="D635" t="s">
        <v>16</v>
      </c>
      <c r="E635" t="s">
        <v>17</v>
      </c>
      <c r="F635" t="s">
        <v>18</v>
      </c>
      <c r="G635" t="s">
        <v>18</v>
      </c>
      <c r="H635" t="s">
        <v>18</v>
      </c>
      <c r="I635" t="s">
        <v>704</v>
      </c>
      <c r="J635">
        <f>4*7</f>
        <v>28</v>
      </c>
      <c r="K635" t="s">
        <v>624</v>
      </c>
      <c r="L635" t="s">
        <v>48</v>
      </c>
      <c r="M635" t="str">
        <f t="shared" si="86"/>
        <v>Stress</v>
      </c>
      <c r="N635" t="s">
        <v>351</v>
      </c>
      <c r="O635" t="s">
        <v>707</v>
      </c>
      <c r="R635" t="s">
        <v>408</v>
      </c>
      <c r="S635" t="s">
        <v>701</v>
      </c>
      <c r="T635" t="s">
        <v>695</v>
      </c>
      <c r="U635" t="s">
        <v>610</v>
      </c>
      <c r="V635" s="1"/>
      <c r="W635" s="1"/>
      <c r="X635" s="1"/>
      <c r="Y635" s="1"/>
      <c r="Z635" s="1"/>
      <c r="AA635" s="1"/>
      <c r="AB635" s="1">
        <v>6.7000000000000004E-8</v>
      </c>
      <c r="AF635" s="2"/>
      <c r="AG635" s="2"/>
      <c r="AK635" t="s">
        <v>348</v>
      </c>
    </row>
    <row r="636" spans="1:37" hidden="1" x14ac:dyDescent="0.25">
      <c r="A636" t="s">
        <v>396</v>
      </c>
      <c r="B636" t="s">
        <v>399</v>
      </c>
      <c r="C636" t="s">
        <v>397</v>
      </c>
      <c r="D636" t="s">
        <v>398</v>
      </c>
      <c r="E636" t="s">
        <v>17</v>
      </c>
      <c r="F636" t="s">
        <v>614</v>
      </c>
      <c r="G636" t="s">
        <v>614</v>
      </c>
      <c r="H636" t="s">
        <v>801</v>
      </c>
      <c r="I636" t="s">
        <v>804</v>
      </c>
      <c r="J636">
        <f>+AVERAGE(13,15)</f>
        <v>14</v>
      </c>
      <c r="K636" t="s">
        <v>91</v>
      </c>
      <c r="L636" t="s">
        <v>36</v>
      </c>
      <c r="M636" t="str">
        <f t="shared" si="86"/>
        <v>Control</v>
      </c>
      <c r="R636" t="s">
        <v>408</v>
      </c>
      <c r="S636" t="s">
        <v>701</v>
      </c>
      <c r="T636" t="s">
        <v>695</v>
      </c>
      <c r="U636" t="s">
        <v>609</v>
      </c>
      <c r="V636" s="1"/>
      <c r="W636" s="1"/>
      <c r="X636" s="1"/>
      <c r="Y636" s="1"/>
      <c r="Z636" s="1"/>
      <c r="AA636" s="1"/>
      <c r="AB636" s="1">
        <v>7.9000000000000006E-8</v>
      </c>
      <c r="AF636" s="2"/>
      <c r="AG636" s="2"/>
      <c r="AK636" t="s">
        <v>198</v>
      </c>
    </row>
    <row r="637" spans="1:37" hidden="1" x14ac:dyDescent="0.25">
      <c r="A637" t="s">
        <v>396</v>
      </c>
      <c r="B637" t="s">
        <v>399</v>
      </c>
      <c r="C637" t="s">
        <v>397</v>
      </c>
      <c r="D637" t="s">
        <v>398</v>
      </c>
      <c r="E637" t="s">
        <v>17</v>
      </c>
      <c r="F637" t="s">
        <v>614</v>
      </c>
      <c r="G637" t="s">
        <v>614</v>
      </c>
      <c r="H637" t="s">
        <v>801</v>
      </c>
      <c r="I637" t="s">
        <v>804</v>
      </c>
      <c r="J637">
        <f>+AVERAGE(13,15)</f>
        <v>14</v>
      </c>
      <c r="K637" t="s">
        <v>91</v>
      </c>
      <c r="L637" t="s">
        <v>496</v>
      </c>
      <c r="M637" t="str">
        <f t="shared" si="86"/>
        <v>Stress</v>
      </c>
      <c r="R637" t="s">
        <v>408</v>
      </c>
      <c r="S637" t="s">
        <v>701</v>
      </c>
      <c r="T637" t="s">
        <v>695</v>
      </c>
      <c r="U637" t="s">
        <v>609</v>
      </c>
      <c r="V637" s="1"/>
      <c r="W637" s="1"/>
      <c r="X637" s="1"/>
      <c r="Y637" s="1"/>
      <c r="Z637" s="1"/>
      <c r="AA637" s="1"/>
      <c r="AB637" s="1">
        <v>5.2000000000000002E-8</v>
      </c>
      <c r="AF637" s="2"/>
      <c r="AG637" s="2"/>
      <c r="AK637" t="s">
        <v>198</v>
      </c>
    </row>
    <row r="638" spans="1:37" hidden="1" x14ac:dyDescent="0.25">
      <c r="A638" t="s">
        <v>396</v>
      </c>
      <c r="B638" t="s">
        <v>399</v>
      </c>
      <c r="C638" t="s">
        <v>397</v>
      </c>
      <c r="D638" t="s">
        <v>398</v>
      </c>
      <c r="E638" t="s">
        <v>17</v>
      </c>
      <c r="F638" t="s">
        <v>614</v>
      </c>
      <c r="G638" t="s">
        <v>614</v>
      </c>
      <c r="H638" t="s">
        <v>801</v>
      </c>
      <c r="I638" t="s">
        <v>804</v>
      </c>
      <c r="J638">
        <f>+AVERAGE(13,15)</f>
        <v>14</v>
      </c>
      <c r="K638" t="s">
        <v>91</v>
      </c>
      <c r="L638" t="s">
        <v>36</v>
      </c>
      <c r="M638" t="str">
        <f t="shared" si="86"/>
        <v>Control</v>
      </c>
      <c r="R638" t="s">
        <v>408</v>
      </c>
      <c r="S638" t="s">
        <v>701</v>
      </c>
      <c r="T638" t="s">
        <v>695</v>
      </c>
      <c r="U638" t="s">
        <v>610</v>
      </c>
      <c r="V638" s="1"/>
      <c r="W638" s="1"/>
      <c r="X638" s="1"/>
      <c r="Y638" s="1"/>
      <c r="Z638" s="1"/>
      <c r="AA638" s="1"/>
      <c r="AB638" s="1">
        <v>1.7E-8</v>
      </c>
      <c r="AF638" s="2"/>
      <c r="AG638" s="2"/>
      <c r="AK638" t="s">
        <v>198</v>
      </c>
    </row>
    <row r="639" spans="1:37" hidden="1" x14ac:dyDescent="0.25">
      <c r="A639" t="s">
        <v>396</v>
      </c>
      <c r="B639" t="s">
        <v>399</v>
      </c>
      <c r="C639" t="s">
        <v>397</v>
      </c>
      <c r="D639" t="s">
        <v>398</v>
      </c>
      <c r="E639" t="s">
        <v>17</v>
      </c>
      <c r="F639" t="s">
        <v>614</v>
      </c>
      <c r="G639" t="s">
        <v>614</v>
      </c>
      <c r="H639" t="s">
        <v>801</v>
      </c>
      <c r="I639" t="s">
        <v>804</v>
      </c>
      <c r="J639">
        <f>+AVERAGE(13,15)</f>
        <v>14</v>
      </c>
      <c r="K639" t="s">
        <v>91</v>
      </c>
      <c r="L639" t="s">
        <v>496</v>
      </c>
      <c r="M639" t="str">
        <f t="shared" si="86"/>
        <v>Stress</v>
      </c>
      <c r="R639" t="s">
        <v>408</v>
      </c>
      <c r="S639" t="s">
        <v>701</v>
      </c>
      <c r="T639" t="s">
        <v>695</v>
      </c>
      <c r="U639" t="s">
        <v>610</v>
      </c>
      <c r="V639" s="1"/>
      <c r="W639" s="1"/>
      <c r="X639" s="1"/>
      <c r="Y639" s="1"/>
      <c r="Z639" s="1"/>
      <c r="AA639" s="1"/>
      <c r="AB639" s="1">
        <v>4.0000000000000002E-9</v>
      </c>
      <c r="AF639" s="2"/>
      <c r="AG639" s="2"/>
      <c r="AK639" t="s">
        <v>198</v>
      </c>
    </row>
    <row r="640" spans="1:37" hidden="1" x14ac:dyDescent="0.25">
      <c r="A640" t="s">
        <v>260</v>
      </c>
      <c r="B640" t="s">
        <v>263</v>
      </c>
      <c r="C640" t="s">
        <v>264</v>
      </c>
      <c r="D640" t="s">
        <v>196</v>
      </c>
      <c r="E640" t="s">
        <v>17</v>
      </c>
      <c r="F640" t="s">
        <v>265</v>
      </c>
      <c r="G640" t="s">
        <v>619</v>
      </c>
      <c r="H640" t="s">
        <v>761</v>
      </c>
      <c r="I640" t="s">
        <v>705</v>
      </c>
      <c r="J640">
        <f>18*30</f>
        <v>540</v>
      </c>
      <c r="K640" t="s">
        <v>136</v>
      </c>
      <c r="L640" t="s">
        <v>36</v>
      </c>
      <c r="M640" t="str">
        <f t="shared" si="86"/>
        <v>Control</v>
      </c>
      <c r="R640" t="s">
        <v>408</v>
      </c>
      <c r="S640" t="s">
        <v>701</v>
      </c>
      <c r="T640" t="s">
        <v>695</v>
      </c>
      <c r="U640" t="s">
        <v>609</v>
      </c>
      <c r="V640" s="1" t="s">
        <v>774</v>
      </c>
      <c r="W640" s="1">
        <f>'[86]Islam&amp;Macdonald_2004_Fig2a'!C2</f>
        <v>8.4837905236907698E-9</v>
      </c>
      <c r="X640" s="1"/>
      <c r="AK640" t="s">
        <v>44</v>
      </c>
    </row>
    <row r="641" spans="1:37" hidden="1" x14ac:dyDescent="0.25">
      <c r="A641" t="s">
        <v>260</v>
      </c>
      <c r="B641" t="s">
        <v>263</v>
      </c>
      <c r="C641" t="s">
        <v>264</v>
      </c>
      <c r="D641" t="s">
        <v>196</v>
      </c>
      <c r="E641" t="s">
        <v>17</v>
      </c>
      <c r="F641" t="s">
        <v>265</v>
      </c>
      <c r="G641" t="s">
        <v>619</v>
      </c>
      <c r="H641" t="s">
        <v>761</v>
      </c>
      <c r="I641" t="s">
        <v>705</v>
      </c>
      <c r="J641">
        <f>18*30</f>
        <v>540</v>
      </c>
      <c r="K641" t="s">
        <v>136</v>
      </c>
      <c r="L641" t="s">
        <v>100</v>
      </c>
      <c r="M641" t="str">
        <f t="shared" si="86"/>
        <v>Stress</v>
      </c>
      <c r="R641" t="s">
        <v>408</v>
      </c>
      <c r="S641" t="s">
        <v>701</v>
      </c>
      <c r="T641" t="s">
        <v>695</v>
      </c>
      <c r="U641" t="s">
        <v>609</v>
      </c>
      <c r="V641" s="1" t="s">
        <v>774</v>
      </c>
      <c r="W641" s="1">
        <f>'[86]Islam&amp;Macdonald_2004_Fig2a'!C4</f>
        <v>7.9900249376558609E-9</v>
      </c>
      <c r="X641" s="1"/>
      <c r="AK641" t="s">
        <v>44</v>
      </c>
    </row>
    <row r="642" spans="1:37" hidden="1" x14ac:dyDescent="0.25">
      <c r="A642" t="s">
        <v>260</v>
      </c>
      <c r="B642" t="s">
        <v>261</v>
      </c>
      <c r="C642" t="s">
        <v>195</v>
      </c>
      <c r="D642" t="s">
        <v>196</v>
      </c>
      <c r="E642" t="s">
        <v>17</v>
      </c>
      <c r="F642" t="s">
        <v>262</v>
      </c>
      <c r="G642" t="s">
        <v>612</v>
      </c>
      <c r="H642" t="s">
        <v>761</v>
      </c>
      <c r="I642" t="s">
        <v>705</v>
      </c>
      <c r="J642">
        <f>18*30</f>
        <v>540</v>
      </c>
      <c r="K642" t="s">
        <v>136</v>
      </c>
      <c r="L642" t="s">
        <v>36</v>
      </c>
      <c r="M642" t="str">
        <f t="shared" si="86"/>
        <v>Control</v>
      </c>
      <c r="R642" t="s">
        <v>408</v>
      </c>
      <c r="S642" t="s">
        <v>701</v>
      </c>
      <c r="T642" t="s">
        <v>695</v>
      </c>
      <c r="U642" t="s">
        <v>609</v>
      </c>
      <c r="V642" s="1" t="s">
        <v>774</v>
      </c>
      <c r="W642" s="1">
        <f>'[86]Islam&amp;Macdonald_2004_Fig2a'!C3</f>
        <v>5.9700748129675803E-9</v>
      </c>
      <c r="X642" s="1"/>
      <c r="AK642" t="s">
        <v>44</v>
      </c>
    </row>
    <row r="643" spans="1:37" hidden="1" x14ac:dyDescent="0.25">
      <c r="A643" t="s">
        <v>260</v>
      </c>
      <c r="B643" t="s">
        <v>261</v>
      </c>
      <c r="C643" t="s">
        <v>195</v>
      </c>
      <c r="D643" t="s">
        <v>196</v>
      </c>
      <c r="E643" t="s">
        <v>17</v>
      </c>
      <c r="F643" t="s">
        <v>262</v>
      </c>
      <c r="G643" t="s">
        <v>612</v>
      </c>
      <c r="H643" t="s">
        <v>761</v>
      </c>
      <c r="I643" t="s">
        <v>705</v>
      </c>
      <c r="J643">
        <f>18*30</f>
        <v>540</v>
      </c>
      <c r="K643" t="s">
        <v>136</v>
      </c>
      <c r="L643" t="s">
        <v>100</v>
      </c>
      <c r="M643" t="str">
        <f t="shared" si="86"/>
        <v>Stress</v>
      </c>
      <c r="R643" t="s">
        <v>408</v>
      </c>
      <c r="S643" t="s">
        <v>701</v>
      </c>
      <c r="T643" t="s">
        <v>695</v>
      </c>
      <c r="U643" t="s">
        <v>609</v>
      </c>
      <c r="V643" s="1" t="s">
        <v>774</v>
      </c>
      <c r="W643" s="1">
        <f>'[86]Islam&amp;Macdonald_2004_Fig2a'!C5</f>
        <v>3.7705735660847802E-9</v>
      </c>
      <c r="X643" s="1"/>
      <c r="AK643" t="s">
        <v>44</v>
      </c>
    </row>
    <row r="644" spans="1:37" hidden="1" x14ac:dyDescent="0.25">
      <c r="A644" t="s">
        <v>559</v>
      </c>
      <c r="B644" t="s">
        <v>560</v>
      </c>
      <c r="C644" t="s">
        <v>228</v>
      </c>
      <c r="D644" t="s">
        <v>196</v>
      </c>
      <c r="E644" t="s">
        <v>17</v>
      </c>
      <c r="F644" t="s">
        <v>197</v>
      </c>
      <c r="G644" t="s">
        <v>612</v>
      </c>
      <c r="H644" t="s">
        <v>761</v>
      </c>
      <c r="I644" t="s">
        <v>705</v>
      </c>
      <c r="J644">
        <f>+(6+1)*30</f>
        <v>210</v>
      </c>
      <c r="K644" t="s">
        <v>561</v>
      </c>
      <c r="L644" t="s">
        <v>36</v>
      </c>
      <c r="M644" t="str">
        <f t="shared" si="86"/>
        <v>Control</v>
      </c>
      <c r="N644" t="s">
        <v>36</v>
      </c>
      <c r="O644" t="str">
        <f>+IF(N644="Control","Control","Stress")</f>
        <v>Control</v>
      </c>
      <c r="R644" t="s">
        <v>408</v>
      </c>
      <c r="S644" t="s">
        <v>701</v>
      </c>
      <c r="T644" t="s">
        <v>695</v>
      </c>
      <c r="U644" t="s">
        <v>609</v>
      </c>
      <c r="V644" s="1" t="s">
        <v>774</v>
      </c>
      <c r="W644" s="1">
        <f>[87]Apostol_etal_2004_Fig1b!B2</f>
        <v>2.32867132867132E-9</v>
      </c>
      <c r="X644" s="1"/>
      <c r="AG644">
        <v>2.84</v>
      </c>
      <c r="AK644" t="s">
        <v>44</v>
      </c>
    </row>
    <row r="645" spans="1:37" hidden="1" x14ac:dyDescent="0.25">
      <c r="A645" t="s">
        <v>559</v>
      </c>
      <c r="B645" t="s">
        <v>560</v>
      </c>
      <c r="C645" t="s">
        <v>228</v>
      </c>
      <c r="D645" t="s">
        <v>196</v>
      </c>
      <c r="E645" t="s">
        <v>17</v>
      </c>
      <c r="F645" t="s">
        <v>197</v>
      </c>
      <c r="G645" t="s">
        <v>612</v>
      </c>
      <c r="H645" t="s">
        <v>761</v>
      </c>
      <c r="I645" t="s">
        <v>705</v>
      </c>
      <c r="J645">
        <f>+(6+1)*30</f>
        <v>210</v>
      </c>
      <c r="K645" t="s">
        <v>561</v>
      </c>
      <c r="L645" t="s">
        <v>81</v>
      </c>
      <c r="M645" t="str">
        <f t="shared" si="86"/>
        <v>Stress</v>
      </c>
      <c r="N645" t="s">
        <v>36</v>
      </c>
      <c r="O645" t="str">
        <f>+IF(N645="Control","Control","Stress")</f>
        <v>Control</v>
      </c>
      <c r="R645" t="s">
        <v>408</v>
      </c>
      <c r="S645" t="s">
        <v>701</v>
      </c>
      <c r="T645" t="s">
        <v>695</v>
      </c>
      <c r="U645" t="s">
        <v>609</v>
      </c>
      <c r="V645" s="1" t="s">
        <v>774</v>
      </c>
      <c r="W645" s="1">
        <f>[87]Apostol_etal_2004_Fig1b!B3</f>
        <v>5.9790209790209597E-10</v>
      </c>
      <c r="X645" s="1"/>
      <c r="AG645">
        <v>2.4900000000000002</v>
      </c>
      <c r="AK645" t="s">
        <v>44</v>
      </c>
    </row>
    <row r="646" spans="1:37" hidden="1" x14ac:dyDescent="0.25">
      <c r="A646" t="s">
        <v>559</v>
      </c>
      <c r="B646" t="s">
        <v>560</v>
      </c>
      <c r="C646" t="s">
        <v>228</v>
      </c>
      <c r="D646" t="s">
        <v>196</v>
      </c>
      <c r="E646" t="s">
        <v>17</v>
      </c>
      <c r="F646" t="s">
        <v>197</v>
      </c>
      <c r="G646" t="s">
        <v>612</v>
      </c>
      <c r="H646" t="s">
        <v>761</v>
      </c>
      <c r="I646" t="s">
        <v>705</v>
      </c>
      <c r="J646">
        <f>+(6+1)*30</f>
        <v>210</v>
      </c>
      <c r="K646" t="s">
        <v>561</v>
      </c>
      <c r="L646" t="s">
        <v>36</v>
      </c>
      <c r="M646" t="str">
        <f t="shared" ref="M646:M672" si="89">+IF(L646 = "Control", "Control", "Stress")</f>
        <v>Control</v>
      </c>
      <c r="N646" t="s">
        <v>562</v>
      </c>
      <c r="O646" t="str">
        <f>+IF(N646="Control","Control","Stress")</f>
        <v>Stress</v>
      </c>
      <c r="R646" t="s">
        <v>408</v>
      </c>
      <c r="S646" t="s">
        <v>701</v>
      </c>
      <c r="T646" t="s">
        <v>695</v>
      </c>
      <c r="U646" t="s">
        <v>609</v>
      </c>
      <c r="V646" s="1" t="s">
        <v>774</v>
      </c>
      <c r="W646" s="1">
        <f>[87]Apostol_etal_2004_Fig1b!B4</f>
        <v>5.5594405594405598E-10</v>
      </c>
      <c r="X646" s="1"/>
      <c r="AG646">
        <v>2.86</v>
      </c>
      <c r="AK646" t="s">
        <v>44</v>
      </c>
    </row>
    <row r="647" spans="1:37" hidden="1" x14ac:dyDescent="0.25">
      <c r="A647" t="s">
        <v>559</v>
      </c>
      <c r="B647" t="s">
        <v>560</v>
      </c>
      <c r="C647" t="s">
        <v>228</v>
      </c>
      <c r="D647" t="s">
        <v>196</v>
      </c>
      <c r="E647" t="s">
        <v>17</v>
      </c>
      <c r="F647" t="s">
        <v>197</v>
      </c>
      <c r="G647" t="s">
        <v>612</v>
      </c>
      <c r="H647" t="s">
        <v>761</v>
      </c>
      <c r="I647" t="s">
        <v>705</v>
      </c>
      <c r="J647">
        <f>+(6+1)*30</f>
        <v>210</v>
      </c>
      <c r="K647" t="s">
        <v>561</v>
      </c>
      <c r="L647" t="s">
        <v>81</v>
      </c>
      <c r="M647" t="str">
        <f t="shared" si="89"/>
        <v>Stress</v>
      </c>
      <c r="N647" t="s">
        <v>562</v>
      </c>
      <c r="O647" t="str">
        <f>+IF(N647="Control","Control","Stress")</f>
        <v>Stress</v>
      </c>
      <c r="R647" t="s">
        <v>408</v>
      </c>
      <c r="S647" t="s">
        <v>701</v>
      </c>
      <c r="T647" t="s">
        <v>695</v>
      </c>
      <c r="U647" t="s">
        <v>609</v>
      </c>
      <c r="V647" s="1" t="s">
        <v>774</v>
      </c>
      <c r="W647" s="1">
        <f>[87]Apostol_etal_2004_Fig1b!B5</f>
        <v>2.6223776223776201E-10</v>
      </c>
      <c r="X647" s="1"/>
      <c r="AG647">
        <v>2.5499999999999998</v>
      </c>
      <c r="AK647" t="s">
        <v>44</v>
      </c>
    </row>
    <row r="648" spans="1:37" hidden="1" x14ac:dyDescent="0.25">
      <c r="A648" t="s">
        <v>266</v>
      </c>
      <c r="B648" t="s">
        <v>267</v>
      </c>
      <c r="C648" t="s">
        <v>400</v>
      </c>
      <c r="D648" t="s">
        <v>268</v>
      </c>
      <c r="E648" t="s">
        <v>17</v>
      </c>
      <c r="F648" s="8" t="s">
        <v>114</v>
      </c>
      <c r="G648" t="s">
        <v>762</v>
      </c>
      <c r="H648" t="s">
        <v>762</v>
      </c>
      <c r="I648" t="s">
        <v>705</v>
      </c>
      <c r="J648">
        <f t="shared" ref="J648:J672" si="90">+AVERAGE(12,20)*30</f>
        <v>480</v>
      </c>
      <c r="K648" t="s">
        <v>477</v>
      </c>
      <c r="L648" t="s">
        <v>36</v>
      </c>
      <c r="M648" t="str">
        <f t="shared" si="89"/>
        <v>Control</v>
      </c>
      <c r="R648" t="s">
        <v>408</v>
      </c>
      <c r="S648" t="s">
        <v>701</v>
      </c>
      <c r="T648" t="s">
        <v>695</v>
      </c>
      <c r="U648" t="s">
        <v>609</v>
      </c>
      <c r="V648" s="1" t="s">
        <v>733</v>
      </c>
      <c r="W648" s="1">
        <f t="shared" ref="W648:W667" si="91">+AC648*AI648</f>
        <v>1.5445655414772767E-9</v>
      </c>
      <c r="X648" s="1"/>
      <c r="AC648" s="1">
        <f>[88]Tyree_etal_2003_Fig4!C2</f>
        <v>5.8688560737034604E-8</v>
      </c>
      <c r="AI648" s="5">
        <f>263.18/10000</f>
        <v>2.6318000000000001E-2</v>
      </c>
      <c r="AK648" t="s">
        <v>44</v>
      </c>
    </row>
    <row r="649" spans="1:37" hidden="1" x14ac:dyDescent="0.25">
      <c r="A649" t="s">
        <v>266</v>
      </c>
      <c r="B649" t="s">
        <v>269</v>
      </c>
      <c r="C649" t="s">
        <v>270</v>
      </c>
      <c r="D649" t="s">
        <v>271</v>
      </c>
      <c r="E649" t="s">
        <v>17</v>
      </c>
      <c r="F649" s="8" t="s">
        <v>114</v>
      </c>
      <c r="G649" t="s">
        <v>762</v>
      </c>
      <c r="H649" t="s">
        <v>762</v>
      </c>
      <c r="I649" t="s">
        <v>705</v>
      </c>
      <c r="J649">
        <f t="shared" si="90"/>
        <v>480</v>
      </c>
      <c r="K649" t="s">
        <v>477</v>
      </c>
      <c r="L649" t="s">
        <v>36</v>
      </c>
      <c r="M649" t="str">
        <f t="shared" si="89"/>
        <v>Control</v>
      </c>
      <c r="R649" t="s">
        <v>408</v>
      </c>
      <c r="S649" t="s">
        <v>701</v>
      </c>
      <c r="T649" t="s">
        <v>695</v>
      </c>
      <c r="U649" t="s">
        <v>609</v>
      </c>
      <c r="V649" s="1" t="s">
        <v>733</v>
      </c>
      <c r="W649" s="1">
        <f t="shared" si="91"/>
        <v>2.9220967628737067E-10</v>
      </c>
      <c r="X649" s="1"/>
      <c r="AC649" s="1">
        <f>[88]Tyree_etal_2003_Fig4!C3</f>
        <v>1.7187793440819403E-8</v>
      </c>
      <c r="AI649" s="5">
        <v>1.7000999999999999E-2</v>
      </c>
      <c r="AK649" t="s">
        <v>44</v>
      </c>
    </row>
    <row r="650" spans="1:37" hidden="1" x14ac:dyDescent="0.25">
      <c r="A650" t="s">
        <v>266</v>
      </c>
      <c r="B650" t="s">
        <v>272</v>
      </c>
      <c r="C650" t="s">
        <v>273</v>
      </c>
      <c r="D650" t="s">
        <v>274</v>
      </c>
      <c r="E650" t="s">
        <v>17</v>
      </c>
      <c r="F650" s="8" t="s">
        <v>114</v>
      </c>
      <c r="G650" t="s">
        <v>762</v>
      </c>
      <c r="H650" t="s">
        <v>762</v>
      </c>
      <c r="I650" t="s">
        <v>705</v>
      </c>
      <c r="J650">
        <f t="shared" si="90"/>
        <v>480</v>
      </c>
      <c r="K650" t="s">
        <v>477</v>
      </c>
      <c r="L650" t="s">
        <v>36</v>
      </c>
      <c r="M650" t="str">
        <f t="shared" si="89"/>
        <v>Control</v>
      </c>
      <c r="R650" t="s">
        <v>408</v>
      </c>
      <c r="S650" t="s">
        <v>701</v>
      </c>
      <c r="T650" t="s">
        <v>695</v>
      </c>
      <c r="U650" t="s">
        <v>609</v>
      </c>
      <c r="V650" s="1" t="s">
        <v>733</v>
      </c>
      <c r="W650" s="1">
        <f t="shared" si="91"/>
        <v>9.1064869650641297E-10</v>
      </c>
      <c r="X650" s="1"/>
      <c r="AC650" s="1">
        <f>[88]Tyree_etal_2003_Fig4!C4</f>
        <v>5.5385518580854705E-8</v>
      </c>
      <c r="AI650" s="5">
        <v>1.6441999999999998E-2</v>
      </c>
      <c r="AK650" t="s">
        <v>44</v>
      </c>
    </row>
    <row r="651" spans="1:37" hidden="1" x14ac:dyDescent="0.25">
      <c r="A651" t="s">
        <v>266</v>
      </c>
      <c r="B651" t="s">
        <v>275</v>
      </c>
      <c r="C651" t="s">
        <v>276</v>
      </c>
      <c r="D651" t="s">
        <v>89</v>
      </c>
      <c r="E651" t="s">
        <v>17</v>
      </c>
      <c r="F651" s="8" t="s">
        <v>114</v>
      </c>
      <c r="G651" t="s">
        <v>762</v>
      </c>
      <c r="H651" t="s">
        <v>762</v>
      </c>
      <c r="I651" t="s">
        <v>705</v>
      </c>
      <c r="J651">
        <f t="shared" si="90"/>
        <v>480</v>
      </c>
      <c r="K651" t="s">
        <v>477</v>
      </c>
      <c r="L651" t="s">
        <v>36</v>
      </c>
      <c r="M651" t="str">
        <f t="shared" si="89"/>
        <v>Control</v>
      </c>
      <c r="R651" t="s">
        <v>408</v>
      </c>
      <c r="S651" t="s">
        <v>701</v>
      </c>
      <c r="T651" t="s">
        <v>695</v>
      </c>
      <c r="U651" t="s">
        <v>609</v>
      </c>
      <c r="V651" s="1" t="s">
        <v>733</v>
      </c>
      <c r="W651" s="1">
        <f t="shared" si="91"/>
        <v>3.7211572799374007E-10</v>
      </c>
      <c r="X651" s="1"/>
      <c r="AC651" s="1">
        <f>[88]Tyree_etal_2003_Fig4!C5</f>
        <v>1.7187793440819403E-8</v>
      </c>
      <c r="AI651" s="5">
        <v>2.1649999999999999E-2</v>
      </c>
      <c r="AK651" t="s">
        <v>44</v>
      </c>
    </row>
    <row r="652" spans="1:37" hidden="1" x14ac:dyDescent="0.25">
      <c r="A652" t="s">
        <v>266</v>
      </c>
      <c r="B652" t="s">
        <v>277</v>
      </c>
      <c r="C652" t="s">
        <v>401</v>
      </c>
      <c r="D652" t="s">
        <v>278</v>
      </c>
      <c r="E652" t="s">
        <v>17</v>
      </c>
      <c r="F652" s="8" t="s">
        <v>114</v>
      </c>
      <c r="G652" t="s">
        <v>762</v>
      </c>
      <c r="H652" t="s">
        <v>762</v>
      </c>
      <c r="I652" t="s">
        <v>705</v>
      </c>
      <c r="J652">
        <f t="shared" si="90"/>
        <v>480</v>
      </c>
      <c r="K652" t="s">
        <v>477</v>
      </c>
      <c r="L652" t="s">
        <v>36</v>
      </c>
      <c r="M652" t="str">
        <f t="shared" si="89"/>
        <v>Control</v>
      </c>
      <c r="R652" t="s">
        <v>408</v>
      </c>
      <c r="S652" t="s">
        <v>701</v>
      </c>
      <c r="T652" t="s">
        <v>695</v>
      </c>
      <c r="U652" t="s">
        <v>609</v>
      </c>
      <c r="V652" s="1" t="s">
        <v>733</v>
      </c>
      <c r="W652" s="1">
        <f t="shared" si="91"/>
        <v>2.5569851096514568E-11</v>
      </c>
      <c r="X652" s="1"/>
      <c r="AC652" s="1">
        <f>[88]Tyree_etal_2003_Fig4!C6</f>
        <v>9.3015100387466607E-9</v>
      </c>
      <c r="AI652" s="5">
        <v>2.7489999999999997E-3</v>
      </c>
      <c r="AK652" t="s">
        <v>44</v>
      </c>
    </row>
    <row r="653" spans="1:37" hidden="1" x14ac:dyDescent="0.25">
      <c r="A653" t="s">
        <v>266</v>
      </c>
      <c r="B653" t="s">
        <v>267</v>
      </c>
      <c r="C653" t="s">
        <v>400</v>
      </c>
      <c r="D653" t="s">
        <v>268</v>
      </c>
      <c r="E653" t="s">
        <v>17</v>
      </c>
      <c r="F653" s="8" t="s">
        <v>114</v>
      </c>
      <c r="G653" t="s">
        <v>762</v>
      </c>
      <c r="H653" t="s">
        <v>762</v>
      </c>
      <c r="I653" t="s">
        <v>705</v>
      </c>
      <c r="J653">
        <f t="shared" si="90"/>
        <v>480</v>
      </c>
      <c r="K653" t="s">
        <v>477</v>
      </c>
      <c r="L653" t="s">
        <v>479</v>
      </c>
      <c r="M653" t="str">
        <f t="shared" si="89"/>
        <v>Stress</v>
      </c>
      <c r="R653" t="s">
        <v>408</v>
      </c>
      <c r="S653" t="s">
        <v>701</v>
      </c>
      <c r="T653" t="s">
        <v>695</v>
      </c>
      <c r="U653" t="s">
        <v>609</v>
      </c>
      <c r="V653" s="1" t="s">
        <v>733</v>
      </c>
      <c r="W653" s="1">
        <f t="shared" si="91"/>
        <v>1.4408463227390314E-9</v>
      </c>
      <c r="X653" s="1"/>
      <c r="AC653" s="1">
        <f>[88]Tyree_etal_2003_Fig4!C7</f>
        <v>5.4747561468919799E-8</v>
      </c>
      <c r="AI653" s="5">
        <v>2.6318000000000001E-2</v>
      </c>
      <c r="AK653" t="s">
        <v>44</v>
      </c>
    </row>
    <row r="654" spans="1:37" hidden="1" x14ac:dyDescent="0.25">
      <c r="A654" t="s">
        <v>266</v>
      </c>
      <c r="B654" t="s">
        <v>269</v>
      </c>
      <c r="C654" t="s">
        <v>270</v>
      </c>
      <c r="D654" t="s">
        <v>271</v>
      </c>
      <c r="E654" t="s">
        <v>17</v>
      </c>
      <c r="F654" s="8" t="s">
        <v>114</v>
      </c>
      <c r="G654" t="s">
        <v>762</v>
      </c>
      <c r="H654" t="s">
        <v>762</v>
      </c>
      <c r="I654" t="s">
        <v>705</v>
      </c>
      <c r="J654">
        <f t="shared" si="90"/>
        <v>480</v>
      </c>
      <c r="K654" t="s">
        <v>477</v>
      </c>
      <c r="L654" t="s">
        <v>479</v>
      </c>
      <c r="M654" t="str">
        <f t="shared" si="89"/>
        <v>Stress</v>
      </c>
      <c r="R654" t="s">
        <v>408</v>
      </c>
      <c r="S654" t="s">
        <v>701</v>
      </c>
      <c r="T654" t="s">
        <v>695</v>
      </c>
      <c r="U654" t="s">
        <v>609</v>
      </c>
      <c r="V654" s="1" t="s">
        <v>733</v>
      </c>
      <c r="W654" s="1">
        <f t="shared" si="91"/>
        <v>1.7349201807579048E-10</v>
      </c>
      <c r="X654" s="1"/>
      <c r="AC654" s="1">
        <f>[88]Tyree_etal_2003_Fig4!C8</f>
        <v>1.02048125448968E-8</v>
      </c>
      <c r="AI654" s="5">
        <v>1.7000999999999999E-2</v>
      </c>
      <c r="AK654" t="s">
        <v>44</v>
      </c>
    </row>
    <row r="655" spans="1:37" hidden="1" x14ac:dyDescent="0.25">
      <c r="A655" t="s">
        <v>266</v>
      </c>
      <c r="B655" t="s">
        <v>272</v>
      </c>
      <c r="C655" t="s">
        <v>273</v>
      </c>
      <c r="D655" t="s">
        <v>274</v>
      </c>
      <c r="E655" t="s">
        <v>17</v>
      </c>
      <c r="F655" s="8" t="s">
        <v>114</v>
      </c>
      <c r="G655" t="s">
        <v>762</v>
      </c>
      <c r="H655" t="s">
        <v>762</v>
      </c>
      <c r="I655" t="s">
        <v>705</v>
      </c>
      <c r="J655">
        <f t="shared" si="90"/>
        <v>480</v>
      </c>
      <c r="K655" t="s">
        <v>477</v>
      </c>
      <c r="L655" t="s">
        <v>479</v>
      </c>
      <c r="M655" t="str">
        <f t="shared" si="89"/>
        <v>Stress</v>
      </c>
      <c r="R655" t="s">
        <v>408</v>
      </c>
      <c r="S655" t="s">
        <v>701</v>
      </c>
      <c r="T655" t="s">
        <v>695</v>
      </c>
      <c r="U655" t="s">
        <v>609</v>
      </c>
      <c r="V655" s="1" t="s">
        <v>733</v>
      </c>
      <c r="W655" s="1">
        <f t="shared" si="91"/>
        <v>9.1064869650641297E-10</v>
      </c>
      <c r="X655" s="1"/>
      <c r="AC655" s="1">
        <f>[88]Tyree_etal_2003_Fig4!C9</f>
        <v>5.5385518580854705E-8</v>
      </c>
      <c r="AI655" s="5">
        <v>1.6441999999999998E-2</v>
      </c>
      <c r="AK655" t="s">
        <v>44</v>
      </c>
    </row>
    <row r="656" spans="1:37" hidden="1" x14ac:dyDescent="0.25">
      <c r="A656" t="s">
        <v>266</v>
      </c>
      <c r="B656" t="s">
        <v>275</v>
      </c>
      <c r="C656" t="s">
        <v>276</v>
      </c>
      <c r="D656" t="s">
        <v>89</v>
      </c>
      <c r="E656" t="s">
        <v>17</v>
      </c>
      <c r="F656" s="8" t="s">
        <v>114</v>
      </c>
      <c r="G656" t="s">
        <v>762</v>
      </c>
      <c r="H656" t="s">
        <v>762</v>
      </c>
      <c r="I656" t="s">
        <v>705</v>
      </c>
      <c r="J656">
        <f t="shared" si="90"/>
        <v>480</v>
      </c>
      <c r="K656" t="s">
        <v>477</v>
      </c>
      <c r="L656" t="s">
        <v>479</v>
      </c>
      <c r="M656" t="str">
        <f t="shared" si="89"/>
        <v>Stress</v>
      </c>
      <c r="R656" t="s">
        <v>408</v>
      </c>
      <c r="S656" t="s">
        <v>701</v>
      </c>
      <c r="T656" t="s">
        <v>695</v>
      </c>
      <c r="U656" t="s">
        <v>609</v>
      </c>
      <c r="V656" s="1" t="s">
        <v>733</v>
      </c>
      <c r="W656" s="1">
        <f t="shared" si="91"/>
        <v>3.1275648846778615E-10</v>
      </c>
      <c r="X656" s="1"/>
      <c r="AC656" s="1">
        <f>[88]Tyree_etal_2003_Fig4!C10</f>
        <v>1.44460271809601E-8</v>
      </c>
      <c r="AI656" s="5">
        <v>2.1649999999999999E-2</v>
      </c>
      <c r="AK656" t="s">
        <v>44</v>
      </c>
    </row>
    <row r="657" spans="1:37" hidden="1" x14ac:dyDescent="0.25">
      <c r="A657" t="s">
        <v>266</v>
      </c>
      <c r="B657" t="s">
        <v>277</v>
      </c>
      <c r="C657" t="s">
        <v>401</v>
      </c>
      <c r="D657" t="s">
        <v>278</v>
      </c>
      <c r="E657" t="s">
        <v>17</v>
      </c>
      <c r="F657" s="8" t="s">
        <v>114</v>
      </c>
      <c r="G657" t="s">
        <v>762</v>
      </c>
      <c r="H657" t="s">
        <v>762</v>
      </c>
      <c r="I657" t="s">
        <v>705</v>
      </c>
      <c r="J657">
        <f t="shared" si="90"/>
        <v>480</v>
      </c>
      <c r="K657" t="s">
        <v>477</v>
      </c>
      <c r="L657" t="s">
        <v>479</v>
      </c>
      <c r="M657" t="str">
        <f t="shared" si="89"/>
        <v>Stress</v>
      </c>
      <c r="R657" t="s">
        <v>408</v>
      </c>
      <c r="S657" t="s">
        <v>701</v>
      </c>
      <c r="T657" t="s">
        <v>695</v>
      </c>
      <c r="U657" t="s">
        <v>609</v>
      </c>
      <c r="V657" s="1" t="s">
        <v>733</v>
      </c>
      <c r="W657" s="1">
        <f t="shared" si="91"/>
        <v>5.2441835573718645E-11</v>
      </c>
      <c r="X657" s="1"/>
      <c r="AC657" s="1">
        <f>[88]Tyree_etal_2003_Fig4!C11</f>
        <v>1.9076695370577902E-8</v>
      </c>
      <c r="AI657" s="5">
        <v>2.7489999999999997E-3</v>
      </c>
      <c r="AK657" t="s">
        <v>44</v>
      </c>
    </row>
    <row r="658" spans="1:37" hidden="1" x14ac:dyDescent="0.25">
      <c r="A658" t="s">
        <v>266</v>
      </c>
      <c r="B658" t="s">
        <v>267</v>
      </c>
      <c r="C658" t="s">
        <v>400</v>
      </c>
      <c r="D658" t="s">
        <v>268</v>
      </c>
      <c r="E658" t="s">
        <v>17</v>
      </c>
      <c r="F658" s="8" t="s">
        <v>114</v>
      </c>
      <c r="G658" t="s">
        <v>762</v>
      </c>
      <c r="H658" t="s">
        <v>762</v>
      </c>
      <c r="I658" t="s">
        <v>705</v>
      </c>
      <c r="J658">
        <f t="shared" si="90"/>
        <v>480</v>
      </c>
      <c r="K658" t="s">
        <v>477</v>
      </c>
      <c r="L658" t="s">
        <v>36</v>
      </c>
      <c r="M658" t="str">
        <f t="shared" si="89"/>
        <v>Control</v>
      </c>
      <c r="R658" t="s">
        <v>408</v>
      </c>
      <c r="S658" t="s">
        <v>701</v>
      </c>
      <c r="T658" t="s">
        <v>695</v>
      </c>
      <c r="U658" t="s">
        <v>609</v>
      </c>
      <c r="V658" s="1" t="s">
        <v>733</v>
      </c>
      <c r="W658" s="1">
        <f t="shared" si="91"/>
        <v>1.8807927105121298E-9</v>
      </c>
      <c r="X658" s="1"/>
      <c r="AC658" s="1">
        <f>[88]Tyree_etal_2003_Fig4!C12</f>
        <v>7.1464120013379808E-8</v>
      </c>
      <c r="AI658" s="5">
        <v>2.6318000000000001E-2</v>
      </c>
      <c r="AK658" t="s">
        <v>44</v>
      </c>
    </row>
    <row r="659" spans="1:37" hidden="1" x14ac:dyDescent="0.25">
      <c r="A659" t="s">
        <v>266</v>
      </c>
      <c r="B659" t="s">
        <v>269</v>
      </c>
      <c r="C659" t="s">
        <v>270</v>
      </c>
      <c r="D659" t="s">
        <v>271</v>
      </c>
      <c r="E659" t="s">
        <v>17</v>
      </c>
      <c r="F659" s="8" t="s">
        <v>114</v>
      </c>
      <c r="G659" t="s">
        <v>762</v>
      </c>
      <c r="H659" t="s">
        <v>762</v>
      </c>
      <c r="I659" t="s">
        <v>705</v>
      </c>
      <c r="J659">
        <f t="shared" si="90"/>
        <v>480</v>
      </c>
      <c r="K659" t="s">
        <v>477</v>
      </c>
      <c r="L659" t="s">
        <v>36</v>
      </c>
      <c r="M659" t="str">
        <f t="shared" si="89"/>
        <v>Control</v>
      </c>
      <c r="R659" t="s">
        <v>408</v>
      </c>
      <c r="S659" t="s">
        <v>701</v>
      </c>
      <c r="T659" t="s">
        <v>695</v>
      </c>
      <c r="U659" t="s">
        <v>609</v>
      </c>
      <c r="V659" s="1" t="s">
        <v>733</v>
      </c>
      <c r="W659" s="1">
        <f t="shared" si="91"/>
        <v>2.7576386696610403E-10</v>
      </c>
      <c r="X659" s="1"/>
      <c r="AC659" s="1">
        <f>[88]Tyree_etal_2003_Fig4!C13</f>
        <v>1.6220449795076998E-8</v>
      </c>
      <c r="AI659" s="5">
        <v>1.7000999999999999E-2</v>
      </c>
      <c r="AK659" t="s">
        <v>44</v>
      </c>
    </row>
    <row r="660" spans="1:37" hidden="1" x14ac:dyDescent="0.25">
      <c r="A660" t="s">
        <v>266</v>
      </c>
      <c r="B660" t="s">
        <v>272</v>
      </c>
      <c r="C660" t="s">
        <v>273</v>
      </c>
      <c r="D660" t="s">
        <v>274</v>
      </c>
      <c r="E660" t="s">
        <v>17</v>
      </c>
      <c r="F660" s="8" t="s">
        <v>114</v>
      </c>
      <c r="G660" t="s">
        <v>762</v>
      </c>
      <c r="H660" t="s">
        <v>762</v>
      </c>
      <c r="I660" t="s">
        <v>705</v>
      </c>
      <c r="J660">
        <f t="shared" si="90"/>
        <v>480</v>
      </c>
      <c r="K660" t="s">
        <v>477</v>
      </c>
      <c r="L660" t="s">
        <v>36</v>
      </c>
      <c r="M660" t="str">
        <f t="shared" si="89"/>
        <v>Control</v>
      </c>
      <c r="R660" t="s">
        <v>408</v>
      </c>
      <c r="S660" t="s">
        <v>701</v>
      </c>
      <c r="T660" t="s">
        <v>695</v>
      </c>
      <c r="U660" t="s">
        <v>609</v>
      </c>
      <c r="V660" s="1" t="s">
        <v>733</v>
      </c>
      <c r="W660" s="1">
        <f t="shared" si="91"/>
        <v>4.1420229940058221E-10</v>
      </c>
      <c r="X660" s="1"/>
      <c r="AC660" s="1">
        <f>[88]Tyree_etal_2003_Fig4!C14</f>
        <v>2.5191722381740801E-8</v>
      </c>
      <c r="AI660" s="5">
        <v>1.6441999999999998E-2</v>
      </c>
      <c r="AK660" t="s">
        <v>44</v>
      </c>
    </row>
    <row r="661" spans="1:37" hidden="1" x14ac:dyDescent="0.25">
      <c r="A661" t="s">
        <v>266</v>
      </c>
      <c r="B661" t="s">
        <v>275</v>
      </c>
      <c r="C661" t="s">
        <v>276</v>
      </c>
      <c r="D661" t="s">
        <v>89</v>
      </c>
      <c r="E661" t="s">
        <v>17</v>
      </c>
      <c r="F661" s="8" t="s">
        <v>114</v>
      </c>
      <c r="G661" t="s">
        <v>762</v>
      </c>
      <c r="H661" t="s">
        <v>762</v>
      </c>
      <c r="I661" t="s">
        <v>705</v>
      </c>
      <c r="J661">
        <f t="shared" si="90"/>
        <v>480</v>
      </c>
      <c r="K661" t="s">
        <v>477</v>
      </c>
      <c r="L661" t="s">
        <v>36</v>
      </c>
      <c r="M661" t="str">
        <f t="shared" si="89"/>
        <v>Control</v>
      </c>
      <c r="R661" t="s">
        <v>408</v>
      </c>
      <c r="S661" t="s">
        <v>701</v>
      </c>
      <c r="T661" t="s">
        <v>695</v>
      </c>
      <c r="U661" t="s">
        <v>609</v>
      </c>
      <c r="V661" s="1" t="s">
        <v>733</v>
      </c>
      <c r="W661" s="1">
        <f t="shared" si="91"/>
        <v>2.1838936503566366E-10</v>
      </c>
      <c r="X661" s="1"/>
      <c r="AC661" s="1">
        <f>[88]Tyree_etal_2003_Fig4!C15</f>
        <v>1.00872685928713E-8</v>
      </c>
      <c r="AI661" s="5">
        <v>2.1649999999999999E-2</v>
      </c>
      <c r="AK661" t="s">
        <v>44</v>
      </c>
    </row>
    <row r="662" spans="1:37" hidden="1" x14ac:dyDescent="0.25">
      <c r="A662" t="s">
        <v>266</v>
      </c>
      <c r="B662" t="s">
        <v>277</v>
      </c>
      <c r="C662" t="s">
        <v>401</v>
      </c>
      <c r="D662" t="s">
        <v>278</v>
      </c>
      <c r="E662" t="s">
        <v>17</v>
      </c>
      <c r="F662" s="8" t="s">
        <v>114</v>
      </c>
      <c r="G662" t="s">
        <v>762</v>
      </c>
      <c r="H662" t="s">
        <v>762</v>
      </c>
      <c r="I662" t="s">
        <v>705</v>
      </c>
      <c r="J662">
        <f t="shared" si="90"/>
        <v>480</v>
      </c>
      <c r="K662" t="s">
        <v>477</v>
      </c>
      <c r="L662" t="s">
        <v>36</v>
      </c>
      <c r="M662" t="str">
        <f t="shared" si="89"/>
        <v>Control</v>
      </c>
      <c r="R662" t="s">
        <v>408</v>
      </c>
      <c r="S662" t="s">
        <v>701</v>
      </c>
      <c r="T662" t="s">
        <v>695</v>
      </c>
      <c r="U662" t="s">
        <v>609</v>
      </c>
      <c r="V662" s="1" t="s">
        <v>733</v>
      </c>
      <c r="W662" s="1">
        <f t="shared" si="91"/>
        <v>6.0263623754156964E-11</v>
      </c>
      <c r="X662" s="1"/>
      <c r="AC662" s="1">
        <f>[88]Tyree_etal_2003_Fig4!C16</f>
        <v>2.19220166439276E-8</v>
      </c>
      <c r="AI662" s="5">
        <v>2.7489999999999997E-3</v>
      </c>
      <c r="AK662" t="s">
        <v>44</v>
      </c>
    </row>
    <row r="663" spans="1:37" hidden="1" x14ac:dyDescent="0.25">
      <c r="A663" t="s">
        <v>266</v>
      </c>
      <c r="B663" t="s">
        <v>267</v>
      </c>
      <c r="C663" t="s">
        <v>400</v>
      </c>
      <c r="D663" t="s">
        <v>268</v>
      </c>
      <c r="E663" t="s">
        <v>17</v>
      </c>
      <c r="F663" s="8" t="s">
        <v>114</v>
      </c>
      <c r="G663" t="s">
        <v>762</v>
      </c>
      <c r="H663" t="s">
        <v>762</v>
      </c>
      <c r="I663" t="s">
        <v>705</v>
      </c>
      <c r="J663">
        <f t="shared" si="90"/>
        <v>480</v>
      </c>
      <c r="K663" t="s">
        <v>477</v>
      </c>
      <c r="L663" t="s">
        <v>478</v>
      </c>
      <c r="M663" t="str">
        <f t="shared" si="89"/>
        <v>Stress</v>
      </c>
      <c r="R663" t="s">
        <v>408</v>
      </c>
      <c r="S663" t="s">
        <v>701</v>
      </c>
      <c r="T663" t="s">
        <v>695</v>
      </c>
      <c r="U663" t="s">
        <v>609</v>
      </c>
      <c r="V663" s="1" t="s">
        <v>733</v>
      </c>
      <c r="W663" s="1">
        <f t="shared" si="91"/>
        <v>1.8165468089298383E-9</v>
      </c>
      <c r="X663" s="1"/>
      <c r="AC663" s="1">
        <f>[88]Tyree_etal_2003_Fig4!C17</f>
        <v>6.9022980808945901E-8</v>
      </c>
      <c r="AI663" s="5">
        <v>2.6318000000000001E-2</v>
      </c>
      <c r="AK663" t="s">
        <v>44</v>
      </c>
    </row>
    <row r="664" spans="1:37" hidden="1" x14ac:dyDescent="0.25">
      <c r="A664" t="s">
        <v>266</v>
      </c>
      <c r="B664" t="s">
        <v>269</v>
      </c>
      <c r="C664" t="s">
        <v>270</v>
      </c>
      <c r="D664" t="s">
        <v>271</v>
      </c>
      <c r="E664" t="s">
        <v>17</v>
      </c>
      <c r="F664" s="8" t="s">
        <v>114</v>
      </c>
      <c r="G664" t="s">
        <v>762</v>
      </c>
      <c r="H664" t="s">
        <v>762</v>
      </c>
      <c r="I664" t="s">
        <v>705</v>
      </c>
      <c r="J664">
        <f t="shared" si="90"/>
        <v>480</v>
      </c>
      <c r="K664" t="s">
        <v>477</v>
      </c>
      <c r="L664" t="s">
        <v>478</v>
      </c>
      <c r="M664" t="str">
        <f t="shared" si="89"/>
        <v>Stress</v>
      </c>
      <c r="R664" t="s">
        <v>408</v>
      </c>
      <c r="S664" t="s">
        <v>701</v>
      </c>
      <c r="T664" t="s">
        <v>695</v>
      </c>
      <c r="U664" t="s">
        <v>609</v>
      </c>
      <c r="V664" s="1" t="s">
        <v>733</v>
      </c>
      <c r="W664" s="1">
        <f t="shared" si="91"/>
        <v>2.9220967628737067E-10</v>
      </c>
      <c r="X664" s="1"/>
      <c r="AC664" s="1">
        <f>[88]Tyree_etal_2003_Fig4!C18</f>
        <v>1.7187793440819403E-8</v>
      </c>
      <c r="AI664" s="5">
        <v>1.7000999999999999E-2</v>
      </c>
      <c r="AK664" t="s">
        <v>44</v>
      </c>
    </row>
    <row r="665" spans="1:37" hidden="1" x14ac:dyDescent="0.25">
      <c r="A665" t="s">
        <v>266</v>
      </c>
      <c r="B665" t="s">
        <v>272</v>
      </c>
      <c r="C665" t="s">
        <v>273</v>
      </c>
      <c r="D665" t="s">
        <v>274</v>
      </c>
      <c r="E665" t="s">
        <v>17</v>
      </c>
      <c r="F665" s="8" t="s">
        <v>114</v>
      </c>
      <c r="G665" t="s">
        <v>762</v>
      </c>
      <c r="H665" t="s">
        <v>762</v>
      </c>
      <c r="I665" t="s">
        <v>705</v>
      </c>
      <c r="J665">
        <f t="shared" si="90"/>
        <v>480</v>
      </c>
      <c r="K665" t="s">
        <v>477</v>
      </c>
      <c r="L665" t="s">
        <v>478</v>
      </c>
      <c r="M665" t="str">
        <f t="shared" si="89"/>
        <v>Stress</v>
      </c>
      <c r="R665" t="s">
        <v>408</v>
      </c>
      <c r="S665" t="s">
        <v>701</v>
      </c>
      <c r="T665" t="s">
        <v>695</v>
      </c>
      <c r="U665" t="s">
        <v>609</v>
      </c>
      <c r="V665" s="1" t="s">
        <v>733</v>
      </c>
      <c r="W665" s="1">
        <f t="shared" si="91"/>
        <v>4.0005358433287896E-10</v>
      </c>
      <c r="X665" s="1"/>
      <c r="AC665" s="1">
        <f>[88]Tyree_etal_2003_Fig4!C19</f>
        <v>2.4331199630998602E-8</v>
      </c>
      <c r="AI665" s="5">
        <v>1.6441999999999998E-2</v>
      </c>
      <c r="AK665" t="s">
        <v>44</v>
      </c>
    </row>
    <row r="666" spans="1:37" hidden="1" x14ac:dyDescent="0.25">
      <c r="A666" t="s">
        <v>266</v>
      </c>
      <c r="B666" t="s">
        <v>275</v>
      </c>
      <c r="C666" t="s">
        <v>276</v>
      </c>
      <c r="D666" t="s">
        <v>89</v>
      </c>
      <c r="E666" t="s">
        <v>17</v>
      </c>
      <c r="F666" s="8" t="s">
        <v>114</v>
      </c>
      <c r="G666" t="s">
        <v>762</v>
      </c>
      <c r="H666" t="s">
        <v>762</v>
      </c>
      <c r="I666" t="s">
        <v>705</v>
      </c>
      <c r="J666">
        <f t="shared" si="90"/>
        <v>480</v>
      </c>
      <c r="K666" t="s">
        <v>477</v>
      </c>
      <c r="L666" t="s">
        <v>478</v>
      </c>
      <c r="M666" t="str">
        <f t="shared" si="89"/>
        <v>Stress</v>
      </c>
      <c r="R666" t="s">
        <v>408</v>
      </c>
      <c r="S666" t="s">
        <v>701</v>
      </c>
      <c r="T666" t="s">
        <v>695</v>
      </c>
      <c r="U666" t="s">
        <v>609</v>
      </c>
      <c r="V666" s="1" t="s">
        <v>733</v>
      </c>
      <c r="W666" s="1">
        <f t="shared" si="91"/>
        <v>3.0915400841100873E-10</v>
      </c>
      <c r="X666" s="1"/>
      <c r="AC666" s="1">
        <f>[88]Tyree_etal_2003_Fig4!C20</f>
        <v>1.4279630873487701E-8</v>
      </c>
      <c r="AI666" s="5">
        <v>2.1649999999999999E-2</v>
      </c>
      <c r="AK666" t="s">
        <v>44</v>
      </c>
    </row>
    <row r="667" spans="1:37" hidden="1" x14ac:dyDescent="0.25">
      <c r="A667" t="s">
        <v>266</v>
      </c>
      <c r="B667" t="s">
        <v>277</v>
      </c>
      <c r="C667" t="s">
        <v>401</v>
      </c>
      <c r="D667" t="s">
        <v>278</v>
      </c>
      <c r="E667" t="s">
        <v>17</v>
      </c>
      <c r="F667" s="8" t="s">
        <v>114</v>
      </c>
      <c r="G667" t="s">
        <v>762</v>
      </c>
      <c r="H667" t="s">
        <v>762</v>
      </c>
      <c r="I667" t="s">
        <v>705</v>
      </c>
      <c r="J667">
        <f t="shared" si="90"/>
        <v>480</v>
      </c>
      <c r="K667" t="s">
        <v>477</v>
      </c>
      <c r="L667" t="s">
        <v>478</v>
      </c>
      <c r="M667" t="str">
        <f t="shared" si="89"/>
        <v>Stress</v>
      </c>
      <c r="R667" t="s">
        <v>408</v>
      </c>
      <c r="S667" t="s">
        <v>701</v>
      </c>
      <c r="T667" t="s">
        <v>695</v>
      </c>
      <c r="U667" t="s">
        <v>609</v>
      </c>
      <c r="V667" s="1" t="s">
        <v>733</v>
      </c>
      <c r="W667" s="1">
        <f t="shared" si="91"/>
        <v>3.1498816520297474E-11</v>
      </c>
      <c r="X667" s="1"/>
      <c r="AC667" s="1">
        <f>[88]Tyree_etal_2003_Fig4!C21</f>
        <v>1.1458281746197701E-8</v>
      </c>
      <c r="AI667" s="5">
        <v>2.7489999999999997E-3</v>
      </c>
      <c r="AK667" t="s">
        <v>44</v>
      </c>
    </row>
    <row r="668" spans="1:37" hidden="1" x14ac:dyDescent="0.25">
      <c r="A668" t="s">
        <v>266</v>
      </c>
      <c r="B668" t="s">
        <v>267</v>
      </c>
      <c r="C668" t="s">
        <v>400</v>
      </c>
      <c r="D668" t="s">
        <v>268</v>
      </c>
      <c r="E668" t="s">
        <v>17</v>
      </c>
      <c r="F668" s="8" t="s">
        <v>114</v>
      </c>
      <c r="G668" t="s">
        <v>762</v>
      </c>
      <c r="H668" t="s">
        <v>762</v>
      </c>
      <c r="I668" t="s">
        <v>705</v>
      </c>
      <c r="J668">
        <f t="shared" si="90"/>
        <v>480</v>
      </c>
      <c r="K668" t="s">
        <v>477</v>
      </c>
      <c r="L668" t="s">
        <v>480</v>
      </c>
      <c r="M668" t="str">
        <f t="shared" si="89"/>
        <v>Stress</v>
      </c>
      <c r="R668" t="s">
        <v>408</v>
      </c>
      <c r="S668" t="s">
        <v>701</v>
      </c>
      <c r="T668" t="s">
        <v>695</v>
      </c>
      <c r="U668" t="s">
        <v>609</v>
      </c>
      <c r="V668" s="1"/>
      <c r="W668" s="1"/>
      <c r="X668" s="1"/>
      <c r="AK668" t="s">
        <v>44</v>
      </c>
    </row>
    <row r="669" spans="1:37" hidden="1" x14ac:dyDescent="0.25">
      <c r="A669" t="s">
        <v>266</v>
      </c>
      <c r="B669" t="s">
        <v>269</v>
      </c>
      <c r="C669" t="s">
        <v>270</v>
      </c>
      <c r="D669" t="s">
        <v>271</v>
      </c>
      <c r="E669" t="s">
        <v>17</v>
      </c>
      <c r="F669" s="8" t="s">
        <v>114</v>
      </c>
      <c r="G669" t="s">
        <v>762</v>
      </c>
      <c r="H669" t="s">
        <v>762</v>
      </c>
      <c r="I669" t="s">
        <v>705</v>
      </c>
      <c r="J669">
        <f t="shared" si="90"/>
        <v>480</v>
      </c>
      <c r="K669" t="s">
        <v>477</v>
      </c>
      <c r="L669" t="s">
        <v>480</v>
      </c>
      <c r="M669" t="str">
        <f t="shared" si="89"/>
        <v>Stress</v>
      </c>
      <c r="R669" t="s">
        <v>408</v>
      </c>
      <c r="S669" t="s">
        <v>701</v>
      </c>
      <c r="T669" t="s">
        <v>695</v>
      </c>
      <c r="U669" t="s">
        <v>609</v>
      </c>
      <c r="V669" s="1" t="s">
        <v>733</v>
      </c>
      <c r="W669" s="1">
        <f t="shared" ref="W669:W672" si="92">+AC669*AI669</f>
        <v>2.8068828865792662E-10</v>
      </c>
      <c r="X669" s="1"/>
      <c r="AC669" s="1">
        <f>[88]Tyree_etal_2003_Fig4!C23</f>
        <v>1.6510104620782698E-8</v>
      </c>
      <c r="AI669" s="5">
        <v>1.7000999999999999E-2</v>
      </c>
      <c r="AK669" t="s">
        <v>44</v>
      </c>
    </row>
    <row r="670" spans="1:37" hidden="1" x14ac:dyDescent="0.25">
      <c r="A670" t="s">
        <v>266</v>
      </c>
      <c r="B670" t="s">
        <v>272</v>
      </c>
      <c r="C670" t="s">
        <v>273</v>
      </c>
      <c r="D670" t="s">
        <v>274</v>
      </c>
      <c r="E670" t="s">
        <v>17</v>
      </c>
      <c r="F670" s="8" t="s">
        <v>114</v>
      </c>
      <c r="G670" t="s">
        <v>762</v>
      </c>
      <c r="H670" t="s">
        <v>762</v>
      </c>
      <c r="I670" t="s">
        <v>705</v>
      </c>
      <c r="J670">
        <f t="shared" si="90"/>
        <v>480</v>
      </c>
      <c r="K670" t="s">
        <v>477</v>
      </c>
      <c r="L670" t="s">
        <v>480</v>
      </c>
      <c r="M670" t="str">
        <f t="shared" si="89"/>
        <v>Stress</v>
      </c>
      <c r="R670" t="s">
        <v>408</v>
      </c>
      <c r="S670" t="s">
        <v>701</v>
      </c>
      <c r="T670" t="s">
        <v>695</v>
      </c>
      <c r="U670" t="s">
        <v>609</v>
      </c>
      <c r="V670" s="1" t="s">
        <v>733</v>
      </c>
      <c r="W670" s="1">
        <f t="shared" si="92"/>
        <v>5.8767097103145905E-10</v>
      </c>
      <c r="X670" s="1"/>
      <c r="AC670" s="1">
        <f>[88]Tyree_etal_2003_Fig4!C24</f>
        <v>3.57420612475039E-8</v>
      </c>
      <c r="AI670" s="5">
        <v>1.6441999999999998E-2</v>
      </c>
      <c r="AK670" t="s">
        <v>44</v>
      </c>
    </row>
    <row r="671" spans="1:37" hidden="1" x14ac:dyDescent="0.25">
      <c r="A671" t="s">
        <v>266</v>
      </c>
      <c r="B671" t="s">
        <v>275</v>
      </c>
      <c r="C671" t="s">
        <v>276</v>
      </c>
      <c r="D671" t="s">
        <v>89</v>
      </c>
      <c r="E671" t="s">
        <v>17</v>
      </c>
      <c r="F671" s="8" t="s">
        <v>114</v>
      </c>
      <c r="G671" t="s">
        <v>762</v>
      </c>
      <c r="H671" t="s">
        <v>762</v>
      </c>
      <c r="I671" t="s">
        <v>705</v>
      </c>
      <c r="J671">
        <f t="shared" si="90"/>
        <v>480</v>
      </c>
      <c r="K671" t="s">
        <v>477</v>
      </c>
      <c r="L671" t="s">
        <v>480</v>
      </c>
      <c r="M671" t="str">
        <f t="shared" si="89"/>
        <v>Stress</v>
      </c>
      <c r="R671" t="s">
        <v>408</v>
      </c>
      <c r="S671" t="s">
        <v>701</v>
      </c>
      <c r="T671" t="s">
        <v>695</v>
      </c>
      <c r="U671" t="s">
        <v>609</v>
      </c>
      <c r="V671" s="1" t="s">
        <v>733</v>
      </c>
      <c r="W671" s="1">
        <f t="shared" si="92"/>
        <v>2.8079277122358888E-10</v>
      </c>
      <c r="X671" s="1"/>
      <c r="AC671" s="1">
        <f>[88]Tyree_etal_2003_Fig4!C25</f>
        <v>1.2969643012636899E-8</v>
      </c>
      <c r="AI671" s="5">
        <v>2.1649999999999999E-2</v>
      </c>
      <c r="AK671" t="s">
        <v>44</v>
      </c>
    </row>
    <row r="672" spans="1:37" hidden="1" x14ac:dyDescent="0.25">
      <c r="A672" t="s">
        <v>266</v>
      </c>
      <c r="B672" t="s">
        <v>277</v>
      </c>
      <c r="C672" t="s">
        <v>401</v>
      </c>
      <c r="D672" t="s">
        <v>278</v>
      </c>
      <c r="E672" t="s">
        <v>17</v>
      </c>
      <c r="F672" s="8" t="s">
        <v>114</v>
      </c>
      <c r="G672" t="s">
        <v>762</v>
      </c>
      <c r="H672" t="s">
        <v>762</v>
      </c>
      <c r="I672" t="s">
        <v>705</v>
      </c>
      <c r="J672">
        <f t="shared" si="90"/>
        <v>480</v>
      </c>
      <c r="K672" t="s">
        <v>477</v>
      </c>
      <c r="L672" t="s">
        <v>480</v>
      </c>
      <c r="M672" t="str">
        <f t="shared" si="89"/>
        <v>Stress</v>
      </c>
      <c r="R672" t="s">
        <v>408</v>
      </c>
      <c r="S672" t="s">
        <v>701</v>
      </c>
      <c r="T672" t="s">
        <v>695</v>
      </c>
      <c r="U672" t="s">
        <v>609</v>
      </c>
      <c r="V672" s="1" t="s">
        <v>733</v>
      </c>
      <c r="W672" s="1">
        <f t="shared" si="92"/>
        <v>2.4037750185157212E-11</v>
      </c>
      <c r="X672" s="1"/>
      <c r="AC672" s="1">
        <f>[88]Tyree_etal_2003_Fig4!C26</f>
        <v>8.7441797690641017E-9</v>
      </c>
      <c r="AI672" s="5">
        <v>2.7489999999999997E-3</v>
      </c>
      <c r="AK672" t="s">
        <v>44</v>
      </c>
    </row>
    <row r="673" spans="1:37" hidden="1" x14ac:dyDescent="0.25">
      <c r="A673" t="s">
        <v>382</v>
      </c>
      <c r="B673" t="s">
        <v>383</v>
      </c>
      <c r="C673" t="s">
        <v>384</v>
      </c>
      <c r="D673" t="s">
        <v>385</v>
      </c>
      <c r="E673" t="s">
        <v>17</v>
      </c>
      <c r="F673" s="8" t="s">
        <v>23</v>
      </c>
      <c r="G673" t="s">
        <v>617</v>
      </c>
      <c r="H673" t="s">
        <v>760</v>
      </c>
      <c r="I673" t="s">
        <v>705</v>
      </c>
      <c r="K673" t="s">
        <v>756</v>
      </c>
      <c r="L673" t="s">
        <v>756</v>
      </c>
      <c r="M673" t="s">
        <v>756</v>
      </c>
      <c r="R673" t="s">
        <v>408</v>
      </c>
      <c r="S673" t="s">
        <v>701</v>
      </c>
      <c r="T673" t="s">
        <v>695</v>
      </c>
      <c r="U673" t="s">
        <v>609</v>
      </c>
      <c r="V673" s="1"/>
      <c r="W673" s="1"/>
      <c r="X673" s="1"/>
      <c r="Z673" s="1">
        <v>1.88E-10</v>
      </c>
      <c r="AB673" s="1">
        <v>1.1999999999999999E-7</v>
      </c>
      <c r="AH673" s="2">
        <v>0.5</v>
      </c>
      <c r="AK673" t="s">
        <v>44</v>
      </c>
    </row>
    <row r="674" spans="1:37" hidden="1" x14ac:dyDescent="0.25">
      <c r="A674" t="s">
        <v>382</v>
      </c>
      <c r="B674" t="s">
        <v>50</v>
      </c>
      <c r="C674" t="s">
        <v>51</v>
      </c>
      <c r="D674" t="s">
        <v>16</v>
      </c>
      <c r="E674" t="s">
        <v>29</v>
      </c>
      <c r="F674" t="s">
        <v>30</v>
      </c>
      <c r="G674" t="s">
        <v>30</v>
      </c>
      <c r="H674" t="s">
        <v>30</v>
      </c>
      <c r="I674" t="s">
        <v>704</v>
      </c>
      <c r="K674" t="s">
        <v>756</v>
      </c>
      <c r="L674" t="s">
        <v>756</v>
      </c>
      <c r="M674" t="s">
        <v>756</v>
      </c>
      <c r="R674" t="s">
        <v>408</v>
      </c>
      <c r="S674" t="s">
        <v>701</v>
      </c>
      <c r="T674" t="s">
        <v>695</v>
      </c>
      <c r="U674" t="s">
        <v>609</v>
      </c>
      <c r="V674" s="1"/>
      <c r="W674" s="1"/>
      <c r="X674" s="1"/>
      <c r="Z674" s="1">
        <v>1.2500000000000001E-10</v>
      </c>
      <c r="AB674" s="1">
        <v>8.0000000000000002E-8</v>
      </c>
      <c r="AH674" s="2">
        <v>0.5</v>
      </c>
      <c r="AK674" t="s">
        <v>44</v>
      </c>
    </row>
    <row r="675" spans="1:37" hidden="1" x14ac:dyDescent="0.25">
      <c r="A675" t="s">
        <v>127</v>
      </c>
      <c r="B675" t="s">
        <v>53</v>
      </c>
      <c r="C675" t="s">
        <v>54</v>
      </c>
      <c r="D675" t="s">
        <v>16</v>
      </c>
      <c r="E675" t="s">
        <v>17</v>
      </c>
      <c r="F675" t="s">
        <v>18</v>
      </c>
      <c r="G675" t="s">
        <v>18</v>
      </c>
      <c r="H675" t="s">
        <v>18</v>
      </c>
      <c r="I675" t="s">
        <v>704</v>
      </c>
      <c r="J675">
        <f>+AVERAGE(31,40)</f>
        <v>35.5</v>
      </c>
      <c r="K675" t="s">
        <v>744</v>
      </c>
      <c r="L675" t="s">
        <v>426</v>
      </c>
      <c r="M675" t="s">
        <v>707</v>
      </c>
      <c r="R675" t="s">
        <v>408</v>
      </c>
      <c r="S675" t="s">
        <v>701</v>
      </c>
      <c r="T675" t="s">
        <v>695</v>
      </c>
      <c r="U675" t="s">
        <v>609</v>
      </c>
      <c r="V675" s="1" t="s">
        <v>733</v>
      </c>
      <c r="W675" s="1">
        <f t="shared" ref="W675:W678" si="93">+AB675*AD675/10000</f>
        <v>9.5999999999999999E-10</v>
      </c>
      <c r="X675" s="1"/>
      <c r="Y675" s="1"/>
      <c r="Z675" s="1"/>
      <c r="AA675" s="1"/>
      <c r="AB675" s="1">
        <v>4.0000000000000001E-8</v>
      </c>
      <c r="AD675">
        <f>+AVERAGE(1.8,3)*100</f>
        <v>240</v>
      </c>
      <c r="AF675" s="2"/>
      <c r="AG675" s="2"/>
      <c r="AK675" t="s">
        <v>199</v>
      </c>
    </row>
    <row r="676" spans="1:37" hidden="1" x14ac:dyDescent="0.25">
      <c r="A676" t="s">
        <v>127</v>
      </c>
      <c r="B676" t="s">
        <v>53</v>
      </c>
      <c r="C676" t="s">
        <v>54</v>
      </c>
      <c r="D676" t="s">
        <v>16</v>
      </c>
      <c r="E676" t="s">
        <v>17</v>
      </c>
      <c r="F676" t="s">
        <v>18</v>
      </c>
      <c r="G676" t="s">
        <v>18</v>
      </c>
      <c r="H676" t="s">
        <v>18</v>
      </c>
      <c r="I676" t="s">
        <v>704</v>
      </c>
      <c r="J676">
        <f>+AVERAGE(31,40)</f>
        <v>35.5</v>
      </c>
      <c r="K676" t="s">
        <v>744</v>
      </c>
      <c r="L676" t="s">
        <v>422</v>
      </c>
      <c r="M676" t="s">
        <v>707</v>
      </c>
      <c r="R676" t="s">
        <v>408</v>
      </c>
      <c r="S676" t="s">
        <v>701</v>
      </c>
      <c r="T676" t="s">
        <v>695</v>
      </c>
      <c r="U676" t="s">
        <v>609</v>
      </c>
      <c r="V676" s="1" t="s">
        <v>733</v>
      </c>
      <c r="W676" s="1">
        <f t="shared" si="93"/>
        <v>1.2739999999999999E-9</v>
      </c>
      <c r="X676" s="1"/>
      <c r="Y676" s="1"/>
      <c r="Z676" s="1"/>
      <c r="AA676" s="1"/>
      <c r="AB676" s="1">
        <v>2.7999999999999999E-8</v>
      </c>
      <c r="AD676">
        <f>+AVERAGE(2.3,6.8)*100</f>
        <v>455</v>
      </c>
      <c r="AF676" s="2"/>
      <c r="AG676" s="2"/>
      <c r="AK676" t="s">
        <v>199</v>
      </c>
    </row>
    <row r="677" spans="1:37" hidden="1" x14ac:dyDescent="0.25">
      <c r="A677" t="s">
        <v>127</v>
      </c>
      <c r="B677" t="s">
        <v>53</v>
      </c>
      <c r="C677" t="s">
        <v>54</v>
      </c>
      <c r="D677" t="s">
        <v>16</v>
      </c>
      <c r="E677" t="s">
        <v>17</v>
      </c>
      <c r="F677" t="s">
        <v>18</v>
      </c>
      <c r="G677" t="s">
        <v>18</v>
      </c>
      <c r="H677" t="s">
        <v>18</v>
      </c>
      <c r="I677" t="s">
        <v>704</v>
      </c>
      <c r="J677">
        <f>+AVERAGE(31,40)</f>
        <v>35.5</v>
      </c>
      <c r="K677" t="s">
        <v>744</v>
      </c>
      <c r="L677" t="s">
        <v>426</v>
      </c>
      <c r="M677" t="s">
        <v>707</v>
      </c>
      <c r="R677" t="s">
        <v>408</v>
      </c>
      <c r="S677" t="s">
        <v>701</v>
      </c>
      <c r="T677" t="s">
        <v>695</v>
      </c>
      <c r="U677" t="s">
        <v>610</v>
      </c>
      <c r="V677" s="1" t="s">
        <v>733</v>
      </c>
      <c r="W677" s="1">
        <f t="shared" si="93"/>
        <v>7.4400000000000002E-10</v>
      </c>
      <c r="X677" s="1"/>
      <c r="Y677" s="1"/>
      <c r="Z677" s="1"/>
      <c r="AA677" s="1"/>
      <c r="AB677" s="1">
        <v>3.1E-8</v>
      </c>
      <c r="AD677">
        <f>+AVERAGE(1.8,3)*100</f>
        <v>240</v>
      </c>
      <c r="AF677" s="2"/>
      <c r="AG677" s="2"/>
      <c r="AK677" t="s">
        <v>348</v>
      </c>
    </row>
    <row r="678" spans="1:37" hidden="1" x14ac:dyDescent="0.25">
      <c r="A678" t="s">
        <v>127</v>
      </c>
      <c r="B678" t="s">
        <v>53</v>
      </c>
      <c r="C678" t="s">
        <v>54</v>
      </c>
      <c r="D678" t="s">
        <v>16</v>
      </c>
      <c r="E678" t="s">
        <v>17</v>
      </c>
      <c r="F678" t="s">
        <v>18</v>
      </c>
      <c r="G678" t="s">
        <v>18</v>
      </c>
      <c r="H678" t="s">
        <v>18</v>
      </c>
      <c r="I678" t="s">
        <v>704</v>
      </c>
      <c r="J678">
        <f>+AVERAGE(31,40)</f>
        <v>35.5</v>
      </c>
      <c r="K678" t="s">
        <v>744</v>
      </c>
      <c r="L678" t="s">
        <v>422</v>
      </c>
      <c r="M678" t="s">
        <v>707</v>
      </c>
      <c r="R678" t="s">
        <v>408</v>
      </c>
      <c r="S678" t="s">
        <v>701</v>
      </c>
      <c r="T678" t="s">
        <v>695</v>
      </c>
      <c r="U678" t="s">
        <v>610</v>
      </c>
      <c r="V678" s="1" t="s">
        <v>733</v>
      </c>
      <c r="W678" s="1">
        <f t="shared" si="93"/>
        <v>1.092E-9</v>
      </c>
      <c r="X678" s="1"/>
      <c r="Y678" s="1"/>
      <c r="Z678" s="1"/>
      <c r="AA678" s="1"/>
      <c r="AB678" s="1">
        <v>2.4E-8</v>
      </c>
      <c r="AD678">
        <f>+AVERAGE(2.3,6.8)*100</f>
        <v>455</v>
      </c>
      <c r="AF678" s="2"/>
      <c r="AG678" s="2"/>
      <c r="AK678" t="s">
        <v>348</v>
      </c>
    </row>
    <row r="679" spans="1:37" hidden="1" x14ac:dyDescent="0.25">
      <c r="A679" t="s">
        <v>326</v>
      </c>
      <c r="B679" t="s">
        <v>352</v>
      </c>
      <c r="C679" t="s">
        <v>298</v>
      </c>
      <c r="D679" t="s">
        <v>34</v>
      </c>
      <c r="E679" t="s">
        <v>17</v>
      </c>
      <c r="F679" t="s">
        <v>614</v>
      </c>
      <c r="G679" t="s">
        <v>614</v>
      </c>
      <c r="H679" t="s">
        <v>801</v>
      </c>
      <c r="I679" t="s">
        <v>804</v>
      </c>
      <c r="J679">
        <f t="shared" ref="J679:J687" si="94">6*7</f>
        <v>42</v>
      </c>
      <c r="K679" t="s">
        <v>723</v>
      </c>
      <c r="L679" t="s">
        <v>36</v>
      </c>
      <c r="M679" t="s">
        <v>36</v>
      </c>
      <c r="N679" t="s">
        <v>717</v>
      </c>
      <c r="O679" t="s">
        <v>707</v>
      </c>
      <c r="R679" t="s">
        <v>408</v>
      </c>
      <c r="S679" t="s">
        <v>701</v>
      </c>
      <c r="T679" t="s">
        <v>695</v>
      </c>
      <c r="U679" t="s">
        <v>610</v>
      </c>
      <c r="V679" s="1"/>
      <c r="W679" s="1"/>
      <c r="X679" s="1">
        <f>[89]Navarro_etal_2003_Fig4c!C2</f>
        <v>1.5593491696093057E-10</v>
      </c>
      <c r="AK679" t="s">
        <v>348</v>
      </c>
    </row>
    <row r="680" spans="1:37" hidden="1" x14ac:dyDescent="0.25">
      <c r="A680" t="s">
        <v>326</v>
      </c>
      <c r="B680" t="s">
        <v>352</v>
      </c>
      <c r="C680" t="s">
        <v>298</v>
      </c>
      <c r="D680" t="s">
        <v>34</v>
      </c>
      <c r="E680" t="s">
        <v>17</v>
      </c>
      <c r="F680" t="s">
        <v>614</v>
      </c>
      <c r="G680" t="s">
        <v>614</v>
      </c>
      <c r="H680" t="s">
        <v>801</v>
      </c>
      <c r="I680" t="s">
        <v>804</v>
      </c>
      <c r="J680">
        <f t="shared" si="94"/>
        <v>42</v>
      </c>
      <c r="K680" t="s">
        <v>723</v>
      </c>
      <c r="L680" t="s">
        <v>81</v>
      </c>
      <c r="M680" t="str">
        <f t="shared" ref="M680:M691" si="95">+IF(L680 = "Control", "Control", "Stress")</f>
        <v>Stress</v>
      </c>
      <c r="N680" t="s">
        <v>717</v>
      </c>
      <c r="O680" t="s">
        <v>707</v>
      </c>
      <c r="R680" t="s">
        <v>408</v>
      </c>
      <c r="S680" t="s">
        <v>701</v>
      </c>
      <c r="T680" t="s">
        <v>695</v>
      </c>
      <c r="U680" t="s">
        <v>610</v>
      </c>
      <c r="V680" s="1"/>
      <c r="W680" s="1"/>
      <c r="X680" s="1">
        <f>[89]Navarro_etal_2003_Fig4c!C3</f>
        <v>8.5137757694971114E-11</v>
      </c>
      <c r="AK680" t="s">
        <v>348</v>
      </c>
    </row>
    <row r="681" spans="1:37" hidden="1" x14ac:dyDescent="0.25">
      <c r="A681" t="s">
        <v>326</v>
      </c>
      <c r="B681" t="s">
        <v>352</v>
      </c>
      <c r="C681" t="s">
        <v>298</v>
      </c>
      <c r="D681" t="s">
        <v>34</v>
      </c>
      <c r="E681" t="s">
        <v>17</v>
      </c>
      <c r="F681" t="s">
        <v>614</v>
      </c>
      <c r="G681" t="s">
        <v>614</v>
      </c>
      <c r="H681" t="s">
        <v>801</v>
      </c>
      <c r="I681" t="s">
        <v>804</v>
      </c>
      <c r="J681">
        <f t="shared" si="94"/>
        <v>42</v>
      </c>
      <c r="K681" t="s">
        <v>723</v>
      </c>
      <c r="L681" t="s">
        <v>81</v>
      </c>
      <c r="M681" t="str">
        <f t="shared" si="95"/>
        <v>Stress</v>
      </c>
      <c r="N681" t="s">
        <v>717</v>
      </c>
      <c r="O681" t="s">
        <v>707</v>
      </c>
      <c r="R681" t="s">
        <v>408</v>
      </c>
      <c r="S681" t="s">
        <v>701</v>
      </c>
      <c r="T681" t="s">
        <v>695</v>
      </c>
      <c r="U681" t="s">
        <v>610</v>
      </c>
      <c r="V681" s="1"/>
      <c r="W681" s="1"/>
      <c r="X681" s="1">
        <f>[89]Navarro_etal_2003_Fig4c!C4</f>
        <v>6.4664354686236667E-11</v>
      </c>
      <c r="AK681" t="s">
        <v>348</v>
      </c>
    </row>
    <row r="682" spans="1:37" hidden="1" x14ac:dyDescent="0.25">
      <c r="A682" t="s">
        <v>326</v>
      </c>
      <c r="B682" t="s">
        <v>352</v>
      </c>
      <c r="C682" t="s">
        <v>298</v>
      </c>
      <c r="D682" t="s">
        <v>34</v>
      </c>
      <c r="E682" t="s">
        <v>17</v>
      </c>
      <c r="F682" t="s">
        <v>614</v>
      </c>
      <c r="G682" t="s">
        <v>614</v>
      </c>
      <c r="H682" t="s">
        <v>801</v>
      </c>
      <c r="I682" t="s">
        <v>804</v>
      </c>
      <c r="J682">
        <f t="shared" si="94"/>
        <v>42</v>
      </c>
      <c r="K682" t="s">
        <v>723</v>
      </c>
      <c r="L682" t="s">
        <v>81</v>
      </c>
      <c r="M682" t="str">
        <f t="shared" si="95"/>
        <v>Stress</v>
      </c>
      <c r="N682" t="s">
        <v>717</v>
      </c>
      <c r="O682" t="s">
        <v>707</v>
      </c>
      <c r="R682" t="s">
        <v>408</v>
      </c>
      <c r="S682" t="s">
        <v>701</v>
      </c>
      <c r="T682" t="s">
        <v>695</v>
      </c>
      <c r="U682" t="s">
        <v>610</v>
      </c>
      <c r="V682" s="1"/>
      <c r="W682" s="1"/>
      <c r="X682" s="1">
        <f>[89]Navarro_etal_2003_Fig4c!C5</f>
        <v>3.9411629946202784E-11</v>
      </c>
      <c r="AK682" t="s">
        <v>348</v>
      </c>
    </row>
    <row r="683" spans="1:37" hidden="1" x14ac:dyDescent="0.25">
      <c r="A683" t="s">
        <v>326</v>
      </c>
      <c r="B683" t="s">
        <v>352</v>
      </c>
      <c r="C683" t="s">
        <v>298</v>
      </c>
      <c r="D683" t="s">
        <v>34</v>
      </c>
      <c r="E683" t="s">
        <v>17</v>
      </c>
      <c r="F683" t="s">
        <v>614</v>
      </c>
      <c r="G683" t="s">
        <v>614</v>
      </c>
      <c r="H683" t="s">
        <v>801</v>
      </c>
      <c r="I683" t="s">
        <v>804</v>
      </c>
      <c r="J683">
        <f t="shared" si="94"/>
        <v>42</v>
      </c>
      <c r="K683" t="s">
        <v>723</v>
      </c>
      <c r="L683" t="s">
        <v>36</v>
      </c>
      <c r="M683" t="s">
        <v>36</v>
      </c>
      <c r="N683" t="s">
        <v>724</v>
      </c>
      <c r="O683" t="s">
        <v>707</v>
      </c>
      <c r="R683" t="s">
        <v>408</v>
      </c>
      <c r="S683" t="s">
        <v>701</v>
      </c>
      <c r="T683" t="s">
        <v>695</v>
      </c>
      <c r="U683" t="s">
        <v>610</v>
      </c>
      <c r="V683" s="1"/>
      <c r="W683" s="1"/>
      <c r="X683" s="1">
        <f>[89]Navarro_etal_2003_Fig4c!C6</f>
        <v>1.5593360034337361E-10</v>
      </c>
      <c r="AK683" t="s">
        <v>348</v>
      </c>
    </row>
    <row r="684" spans="1:37" hidden="1" x14ac:dyDescent="0.25">
      <c r="A684" t="s">
        <v>326</v>
      </c>
      <c r="B684" t="s">
        <v>352</v>
      </c>
      <c r="C684" t="s">
        <v>298</v>
      </c>
      <c r="D684" t="s">
        <v>34</v>
      </c>
      <c r="E684" t="s">
        <v>17</v>
      </c>
      <c r="F684" t="s">
        <v>614</v>
      </c>
      <c r="G684" t="s">
        <v>614</v>
      </c>
      <c r="H684" t="s">
        <v>801</v>
      </c>
      <c r="I684" t="s">
        <v>804</v>
      </c>
      <c r="J684">
        <f t="shared" si="94"/>
        <v>42</v>
      </c>
      <c r="K684" t="s">
        <v>723</v>
      </c>
      <c r="L684" t="s">
        <v>81</v>
      </c>
      <c r="M684" t="str">
        <f t="shared" si="95"/>
        <v>Stress</v>
      </c>
      <c r="N684" t="s">
        <v>724</v>
      </c>
      <c r="O684" t="s">
        <v>707</v>
      </c>
      <c r="R684" t="s">
        <v>408</v>
      </c>
      <c r="S684" t="s">
        <v>701</v>
      </c>
      <c r="T684" t="s">
        <v>695</v>
      </c>
      <c r="U684" t="s">
        <v>610</v>
      </c>
      <c r="V684" s="1"/>
      <c r="W684" s="1"/>
      <c r="X684" s="1">
        <f>[89]Navarro_etal_2003_Fig4c!C7</f>
        <v>9.5419224196270556E-11</v>
      </c>
      <c r="AK684" t="s">
        <v>348</v>
      </c>
    </row>
    <row r="685" spans="1:37" hidden="1" x14ac:dyDescent="0.25">
      <c r="A685" t="s">
        <v>326</v>
      </c>
      <c r="B685" t="s">
        <v>352</v>
      </c>
      <c r="C685" t="s">
        <v>298</v>
      </c>
      <c r="D685" t="s">
        <v>34</v>
      </c>
      <c r="E685" t="s">
        <v>17</v>
      </c>
      <c r="F685" t="s">
        <v>614</v>
      </c>
      <c r="G685" t="s">
        <v>614</v>
      </c>
      <c r="H685" t="s">
        <v>801</v>
      </c>
      <c r="I685" t="s">
        <v>804</v>
      </c>
      <c r="J685">
        <f t="shared" si="94"/>
        <v>42</v>
      </c>
      <c r="K685" t="s">
        <v>723</v>
      </c>
      <c r="L685" t="s">
        <v>81</v>
      </c>
      <c r="M685" t="str">
        <f t="shared" si="95"/>
        <v>Stress</v>
      </c>
      <c r="N685" t="s">
        <v>724</v>
      </c>
      <c r="O685" t="s">
        <v>707</v>
      </c>
      <c r="R685" t="s">
        <v>408</v>
      </c>
      <c r="S685" t="s">
        <v>701</v>
      </c>
      <c r="T685" t="s">
        <v>695</v>
      </c>
      <c r="U685" t="s">
        <v>610</v>
      </c>
      <c r="V685" s="1"/>
      <c r="W685" s="1"/>
      <c r="X685" s="1">
        <f>[89]Navarro_etal_2003_Fig4c!C8</f>
        <v>7.2782618541661393E-11</v>
      </c>
      <c r="AK685" t="s">
        <v>348</v>
      </c>
    </row>
    <row r="686" spans="1:37" hidden="1" x14ac:dyDescent="0.25">
      <c r="A686" t="s">
        <v>326</v>
      </c>
      <c r="B686" t="s">
        <v>352</v>
      </c>
      <c r="C686" t="s">
        <v>298</v>
      </c>
      <c r="D686" t="s">
        <v>34</v>
      </c>
      <c r="E686" t="s">
        <v>17</v>
      </c>
      <c r="F686" t="s">
        <v>614</v>
      </c>
      <c r="G686" t="s">
        <v>614</v>
      </c>
      <c r="H686" t="s">
        <v>801</v>
      </c>
      <c r="I686" t="s">
        <v>804</v>
      </c>
      <c r="J686">
        <f t="shared" si="94"/>
        <v>42</v>
      </c>
      <c r="K686" t="s">
        <v>723</v>
      </c>
      <c r="L686" t="s">
        <v>81</v>
      </c>
      <c r="M686" t="str">
        <f t="shared" si="95"/>
        <v>Stress</v>
      </c>
      <c r="N686" t="s">
        <v>724</v>
      </c>
      <c r="O686" t="s">
        <v>707</v>
      </c>
      <c r="R686" t="s">
        <v>408</v>
      </c>
      <c r="S686" t="s">
        <v>701</v>
      </c>
      <c r="T686" t="s">
        <v>695</v>
      </c>
      <c r="U686" t="s">
        <v>610</v>
      </c>
      <c r="V686" s="1"/>
      <c r="W686" s="1"/>
      <c r="X686" s="1">
        <f>[89]Navarro_etal_2003_Fig4c!C9</f>
        <v>5.7811360302927223E-11</v>
      </c>
      <c r="Z686" s="1"/>
      <c r="AA686" s="1"/>
      <c r="AF686" s="2"/>
      <c r="AG686" s="2"/>
      <c r="AK686" t="s">
        <v>348</v>
      </c>
    </row>
    <row r="687" spans="1:37" hidden="1" x14ac:dyDescent="0.25">
      <c r="A687" t="s">
        <v>326</v>
      </c>
      <c r="B687" t="s">
        <v>352</v>
      </c>
      <c r="C687" t="s">
        <v>298</v>
      </c>
      <c r="D687" t="s">
        <v>34</v>
      </c>
      <c r="E687" t="s">
        <v>17</v>
      </c>
      <c r="F687" t="s">
        <v>614</v>
      </c>
      <c r="G687" t="s">
        <v>614</v>
      </c>
      <c r="H687" t="s">
        <v>801</v>
      </c>
      <c r="I687" t="s">
        <v>804</v>
      </c>
      <c r="J687">
        <f t="shared" si="94"/>
        <v>42</v>
      </c>
      <c r="K687" t="s">
        <v>723</v>
      </c>
      <c r="L687" t="s">
        <v>81</v>
      </c>
      <c r="M687" t="str">
        <f t="shared" si="95"/>
        <v>Stress</v>
      </c>
      <c r="N687" t="s">
        <v>724</v>
      </c>
      <c r="O687" t="s">
        <v>707</v>
      </c>
      <c r="R687" t="s">
        <v>408</v>
      </c>
      <c r="S687" t="s">
        <v>701</v>
      </c>
      <c r="T687" t="s">
        <v>695</v>
      </c>
      <c r="U687" t="s">
        <v>610</v>
      </c>
      <c r="V687" s="1"/>
      <c r="W687" s="1"/>
      <c r="X687" s="1">
        <f>[89]Navarro_etal_2003_Fig4c!C10</f>
        <v>4.3921045078351663E-11</v>
      </c>
      <c r="Z687" s="1"/>
      <c r="AA687" s="1"/>
      <c r="AF687" s="2"/>
      <c r="AG687" s="2"/>
      <c r="AK687" t="s">
        <v>348</v>
      </c>
    </row>
    <row r="688" spans="1:37" hidden="1" x14ac:dyDescent="0.25">
      <c r="A688" t="s">
        <v>798</v>
      </c>
      <c r="B688" t="s">
        <v>766</v>
      </c>
      <c r="C688" t="s">
        <v>767</v>
      </c>
      <c r="D688" t="s">
        <v>574</v>
      </c>
      <c r="E688" t="s">
        <v>17</v>
      </c>
      <c r="F688" t="s">
        <v>776</v>
      </c>
      <c r="G688" t="s">
        <v>776</v>
      </c>
      <c r="H688" t="s">
        <v>707</v>
      </c>
      <c r="I688" t="s">
        <v>775</v>
      </c>
      <c r="J688">
        <f>5*7</f>
        <v>35</v>
      </c>
      <c r="K688" t="s">
        <v>799</v>
      </c>
      <c r="L688" t="s">
        <v>36</v>
      </c>
      <c r="M688" t="str">
        <f t="shared" si="95"/>
        <v>Control</v>
      </c>
      <c r="N688" t="s">
        <v>36</v>
      </c>
      <c r="O688" t="s">
        <v>36</v>
      </c>
      <c r="R688" t="s">
        <v>408</v>
      </c>
      <c r="S688" t="s">
        <v>701</v>
      </c>
      <c r="T688" t="s">
        <v>695</v>
      </c>
      <c r="U688" t="s">
        <v>609</v>
      </c>
      <c r="V688" s="1"/>
      <c r="W688" s="1"/>
      <c r="Y688" s="1">
        <f>[90]Sheet1!C2</f>
        <v>6.7961165048543611E-10</v>
      </c>
      <c r="Z688" s="1"/>
      <c r="AA688" s="1"/>
      <c r="AF688" s="2"/>
      <c r="AG688" s="2"/>
      <c r="AK688" t="s">
        <v>199</v>
      </c>
    </row>
    <row r="689" spans="1:37" hidden="1" x14ac:dyDescent="0.25">
      <c r="A689" t="s">
        <v>798</v>
      </c>
      <c r="B689" t="s">
        <v>766</v>
      </c>
      <c r="C689" t="s">
        <v>767</v>
      </c>
      <c r="D689" t="s">
        <v>574</v>
      </c>
      <c r="E689" t="s">
        <v>17</v>
      </c>
      <c r="F689" t="s">
        <v>776</v>
      </c>
      <c r="G689" t="s">
        <v>776</v>
      </c>
      <c r="H689" t="s">
        <v>707</v>
      </c>
      <c r="I689" t="s">
        <v>775</v>
      </c>
      <c r="J689">
        <f t="shared" ref="J689:J691" si="96">5*7</f>
        <v>35</v>
      </c>
      <c r="K689" t="s">
        <v>799</v>
      </c>
      <c r="L689" t="s">
        <v>36</v>
      </c>
      <c r="M689" t="str">
        <f t="shared" si="95"/>
        <v>Control</v>
      </c>
      <c r="N689" t="s">
        <v>81</v>
      </c>
      <c r="O689" t="s">
        <v>791</v>
      </c>
      <c r="R689" t="s">
        <v>408</v>
      </c>
      <c r="S689" t="s">
        <v>701</v>
      </c>
      <c r="T689" t="s">
        <v>695</v>
      </c>
      <c r="U689" t="s">
        <v>609</v>
      </c>
      <c r="V689" s="1"/>
      <c r="W689" s="1"/>
      <c r="Y689" s="1">
        <f>[90]Sheet1!C3</f>
        <v>2.3751733703189999E-10</v>
      </c>
      <c r="Z689" s="1"/>
      <c r="AA689" s="1"/>
      <c r="AF689" s="2"/>
      <c r="AG689" s="2"/>
      <c r="AK689" t="s">
        <v>199</v>
      </c>
    </row>
    <row r="690" spans="1:37" hidden="1" x14ac:dyDescent="0.25">
      <c r="A690" t="s">
        <v>798</v>
      </c>
      <c r="B690" t="s">
        <v>766</v>
      </c>
      <c r="C690" t="s">
        <v>767</v>
      </c>
      <c r="D690" t="s">
        <v>574</v>
      </c>
      <c r="E690" t="s">
        <v>17</v>
      </c>
      <c r="F690" t="s">
        <v>776</v>
      </c>
      <c r="G690" t="s">
        <v>776</v>
      </c>
      <c r="H690" t="s">
        <v>707</v>
      </c>
      <c r="I690" t="s">
        <v>775</v>
      </c>
      <c r="J690">
        <f t="shared" si="96"/>
        <v>35</v>
      </c>
      <c r="K690" t="s">
        <v>799</v>
      </c>
      <c r="L690" t="s">
        <v>703</v>
      </c>
      <c r="M690" t="str">
        <f t="shared" si="95"/>
        <v>Stress</v>
      </c>
      <c r="N690" t="s">
        <v>36</v>
      </c>
      <c r="O690" t="s">
        <v>36</v>
      </c>
      <c r="R690" t="s">
        <v>408</v>
      </c>
      <c r="S690" t="s">
        <v>701</v>
      </c>
      <c r="T690" t="s">
        <v>695</v>
      </c>
      <c r="U690" t="s">
        <v>609</v>
      </c>
      <c r="V690" s="1"/>
      <c r="W690" s="1"/>
      <c r="Y690" s="1">
        <f>[90]Sheet1!C4</f>
        <v>2.5312066574202471E-10</v>
      </c>
      <c r="Z690" s="1"/>
      <c r="AA690" s="1"/>
      <c r="AF690" s="2"/>
      <c r="AG690" s="2"/>
      <c r="AK690" t="s">
        <v>199</v>
      </c>
    </row>
    <row r="691" spans="1:37" hidden="1" x14ac:dyDescent="0.25">
      <c r="A691" t="s">
        <v>798</v>
      </c>
      <c r="B691" t="s">
        <v>766</v>
      </c>
      <c r="C691" t="s">
        <v>767</v>
      </c>
      <c r="D691" t="s">
        <v>574</v>
      </c>
      <c r="E691" t="s">
        <v>17</v>
      </c>
      <c r="F691" t="s">
        <v>776</v>
      </c>
      <c r="G691" t="s">
        <v>776</v>
      </c>
      <c r="H691" t="s">
        <v>707</v>
      </c>
      <c r="I691" t="s">
        <v>775</v>
      </c>
      <c r="J691">
        <f t="shared" si="96"/>
        <v>35</v>
      </c>
      <c r="K691" t="s">
        <v>799</v>
      </c>
      <c r="L691" t="s">
        <v>703</v>
      </c>
      <c r="M691" t="str">
        <f t="shared" si="95"/>
        <v>Stress</v>
      </c>
      <c r="N691" t="s">
        <v>81</v>
      </c>
      <c r="O691" t="s">
        <v>791</v>
      </c>
      <c r="R691" t="s">
        <v>408</v>
      </c>
      <c r="S691" t="s">
        <v>701</v>
      </c>
      <c r="T691" t="s">
        <v>695</v>
      </c>
      <c r="U691" t="s">
        <v>609</v>
      </c>
      <c r="V691" s="1"/>
      <c r="W691" s="1"/>
      <c r="Y691" s="1">
        <f>[90]Sheet1!C5</f>
        <v>2.0284327323162276E-10</v>
      </c>
      <c r="Z691" s="1"/>
      <c r="AA691" s="1"/>
      <c r="AF691" s="2"/>
      <c r="AG691" s="2"/>
      <c r="AK691" t="s">
        <v>199</v>
      </c>
    </row>
    <row r="692" spans="1:37" hidden="1" x14ac:dyDescent="0.25">
      <c r="A692" t="s">
        <v>725</v>
      </c>
      <c r="B692" t="s">
        <v>32</v>
      </c>
      <c r="C692" t="s">
        <v>33</v>
      </c>
      <c r="D692" t="s">
        <v>34</v>
      </c>
      <c r="E692" t="s">
        <v>17</v>
      </c>
      <c r="F692" t="s">
        <v>614</v>
      </c>
      <c r="G692" t="s">
        <v>614</v>
      </c>
      <c r="H692" t="s">
        <v>801</v>
      </c>
      <c r="I692" t="s">
        <v>804</v>
      </c>
      <c r="K692" t="s">
        <v>351</v>
      </c>
      <c r="M692" t="s">
        <v>707</v>
      </c>
      <c r="R692" t="s">
        <v>408</v>
      </c>
      <c r="S692" t="s">
        <v>701</v>
      </c>
      <c r="T692" t="s">
        <v>695</v>
      </c>
      <c r="U692" t="s">
        <v>609</v>
      </c>
      <c r="V692" s="1" t="s">
        <v>774</v>
      </c>
      <c r="W692" s="1">
        <f>3.47/60*0.000001</f>
        <v>5.7833333333333328E-8</v>
      </c>
      <c r="X692" s="1"/>
      <c r="Y692" s="1"/>
      <c r="Z692" s="1"/>
      <c r="AA692" s="1"/>
      <c r="AF692" s="2"/>
      <c r="AG692" s="2"/>
      <c r="AK692" t="s">
        <v>199</v>
      </c>
    </row>
    <row r="693" spans="1:37" hidden="1" x14ac:dyDescent="0.25">
      <c r="A693" t="s">
        <v>725</v>
      </c>
      <c r="B693" t="s">
        <v>32</v>
      </c>
      <c r="C693" t="s">
        <v>33</v>
      </c>
      <c r="D693" t="s">
        <v>34</v>
      </c>
      <c r="E693" t="s">
        <v>17</v>
      </c>
      <c r="F693" t="s">
        <v>614</v>
      </c>
      <c r="G693" t="s">
        <v>614</v>
      </c>
      <c r="H693" t="s">
        <v>801</v>
      </c>
      <c r="I693" t="s">
        <v>804</v>
      </c>
      <c r="K693" t="s">
        <v>351</v>
      </c>
      <c r="M693" t="s">
        <v>707</v>
      </c>
      <c r="R693" t="s">
        <v>408</v>
      </c>
      <c r="S693" t="s">
        <v>701</v>
      </c>
      <c r="T693" t="s">
        <v>695</v>
      </c>
      <c r="U693" t="s">
        <v>609</v>
      </c>
      <c r="V693" s="1" t="s">
        <v>774</v>
      </c>
      <c r="W693" s="1">
        <f>1.4/60*0.000001</f>
        <v>2.3333333333333331E-8</v>
      </c>
      <c r="X693" s="1"/>
      <c r="Y693" s="1"/>
      <c r="Z693" s="1"/>
      <c r="AA693" s="1"/>
      <c r="AF693" s="2"/>
      <c r="AG693" s="2"/>
      <c r="AK693" t="s">
        <v>199</v>
      </c>
    </row>
    <row r="694" spans="1:37" hidden="1" x14ac:dyDescent="0.25">
      <c r="A694" t="s">
        <v>279</v>
      </c>
      <c r="B694" t="s">
        <v>280</v>
      </c>
      <c r="C694" t="s">
        <v>281</v>
      </c>
      <c r="D694" t="s">
        <v>282</v>
      </c>
      <c r="E694" t="s">
        <v>17</v>
      </c>
      <c r="F694" s="8" t="s">
        <v>114</v>
      </c>
      <c r="G694" t="s">
        <v>762</v>
      </c>
      <c r="H694" t="s">
        <v>762</v>
      </c>
      <c r="I694" t="s">
        <v>705</v>
      </c>
      <c r="J694">
        <f t="shared" ref="J694:J713" si="97">4*30</f>
        <v>120</v>
      </c>
      <c r="K694" t="s">
        <v>752</v>
      </c>
      <c r="L694" t="s">
        <v>481</v>
      </c>
      <c r="M694" t="s">
        <v>707</v>
      </c>
      <c r="N694" t="s">
        <v>349</v>
      </c>
      <c r="O694" t="s">
        <v>707</v>
      </c>
      <c r="R694" t="s">
        <v>408</v>
      </c>
      <c r="S694" t="s">
        <v>701</v>
      </c>
      <c r="T694" t="s">
        <v>695</v>
      </c>
      <c r="U694" t="s">
        <v>609</v>
      </c>
      <c r="V694" s="1" t="s">
        <v>733</v>
      </c>
      <c r="W694" s="1">
        <f t="shared" ref="W694:W713" si="98">+AB694*AD694/10000</f>
        <v>1.774011381172838E-9</v>
      </c>
      <c r="X694" s="1"/>
      <c r="Y694" s="1">
        <f>[91]Kyllo_etal_2003_Fig2b!C2</f>
        <v>1.5662650602409601E-9</v>
      </c>
      <c r="AB694" s="1">
        <f>[92]Kyllo_etal_2003_Fig2a!C2</f>
        <v>4.0015294312169307E-8</v>
      </c>
      <c r="AC694" s="1">
        <f>[93]Kyllo_etal_2003_Fig2c!C2</f>
        <v>5.9195402298850605E-8</v>
      </c>
      <c r="AD694" s="2">
        <f>[94]Kyllo_etal_2003_Fig1!B2</f>
        <v>443.33333333333297</v>
      </c>
      <c r="AF694">
        <f>[95]Kyllo_etal_2003_Fig1b!B2</f>
        <v>1.12788259958071</v>
      </c>
      <c r="AK694" t="s">
        <v>44</v>
      </c>
    </row>
    <row r="695" spans="1:37" hidden="1" x14ac:dyDescent="0.25">
      <c r="A695" t="s">
        <v>279</v>
      </c>
      <c r="B695" t="s">
        <v>280</v>
      </c>
      <c r="C695" t="s">
        <v>281</v>
      </c>
      <c r="D695" t="s">
        <v>282</v>
      </c>
      <c r="E695" t="s">
        <v>17</v>
      </c>
      <c r="F695" s="8" t="s">
        <v>114</v>
      </c>
      <c r="G695" t="s">
        <v>762</v>
      </c>
      <c r="H695" t="s">
        <v>762</v>
      </c>
      <c r="I695" t="s">
        <v>705</v>
      </c>
      <c r="J695">
        <f t="shared" si="97"/>
        <v>120</v>
      </c>
      <c r="K695" t="s">
        <v>752</v>
      </c>
      <c r="L695" t="s">
        <v>481</v>
      </c>
      <c r="M695" t="s">
        <v>707</v>
      </c>
      <c r="N695" t="s">
        <v>210</v>
      </c>
      <c r="O695" t="s">
        <v>707</v>
      </c>
      <c r="R695" t="s">
        <v>408</v>
      </c>
      <c r="S695" t="s">
        <v>701</v>
      </c>
      <c r="T695" t="s">
        <v>695</v>
      </c>
      <c r="U695" t="s">
        <v>609</v>
      </c>
      <c r="V695" s="1" t="s">
        <v>733</v>
      </c>
      <c r="W695" s="1">
        <f t="shared" si="98"/>
        <v>7.6477724226091284E-10</v>
      </c>
      <c r="X695" s="1"/>
      <c r="Y695" s="1">
        <f>[91]Kyllo_etal_2003_Fig2b!C3</f>
        <v>2.6265060240963803E-9</v>
      </c>
      <c r="AB695" s="1">
        <f>[92]Kyllo_etal_2003_Fig2a!C3</f>
        <v>5.9635416666666603E-8</v>
      </c>
      <c r="AC695" s="1">
        <f>[93]Kyllo_etal_2003_Fig2c!C3</f>
        <v>5.6321839080459697E-8</v>
      </c>
      <c r="AD695" s="2">
        <f>[94]Kyllo_etal_2003_Fig1!B3</f>
        <v>128.242122719734</v>
      </c>
      <c r="AF695">
        <f>[95]Kyllo_etal_2003_Fig1b!B3</f>
        <v>0.30188679245283001</v>
      </c>
      <c r="AK695" t="s">
        <v>44</v>
      </c>
    </row>
    <row r="696" spans="1:37" hidden="1" x14ac:dyDescent="0.25">
      <c r="A696" t="s">
        <v>279</v>
      </c>
      <c r="B696" t="s">
        <v>280</v>
      </c>
      <c r="C696" t="s">
        <v>281</v>
      </c>
      <c r="D696" t="s">
        <v>282</v>
      </c>
      <c r="E696" t="s">
        <v>17</v>
      </c>
      <c r="F696" s="8" t="s">
        <v>114</v>
      </c>
      <c r="G696" t="s">
        <v>762</v>
      </c>
      <c r="H696" t="s">
        <v>762</v>
      </c>
      <c r="I696" t="s">
        <v>705</v>
      </c>
      <c r="J696">
        <f t="shared" si="97"/>
        <v>120</v>
      </c>
      <c r="K696" t="s">
        <v>752</v>
      </c>
      <c r="L696" t="s">
        <v>482</v>
      </c>
      <c r="M696" t="s">
        <v>707</v>
      </c>
      <c r="N696" t="s">
        <v>349</v>
      </c>
      <c r="O696" t="s">
        <v>707</v>
      </c>
      <c r="R696" t="s">
        <v>408</v>
      </c>
      <c r="S696" t="s">
        <v>701</v>
      </c>
      <c r="T696" t="s">
        <v>695</v>
      </c>
      <c r="U696" t="s">
        <v>609</v>
      </c>
      <c r="V696" s="1" t="s">
        <v>733</v>
      </c>
      <c r="W696" s="1">
        <f t="shared" si="98"/>
        <v>1.4696867843323027E-9</v>
      </c>
      <c r="X696" s="1"/>
      <c r="Y696" s="1">
        <f>[91]Kyllo_etal_2003_Fig2b!C4</f>
        <v>3.1566265060240903E-9</v>
      </c>
      <c r="AB696" s="1">
        <f>[92]Kyllo_etal_2003_Fig2a!C4</f>
        <v>6.0152116402116298E-8</v>
      </c>
      <c r="AC696" s="1">
        <f>[93]Kyllo_etal_2003_Fig2c!C4</f>
        <v>3.1034482758620601E-8</v>
      </c>
      <c r="AD696" s="2">
        <f>[94]Kyllo_etal_2003_Fig1!B4</f>
        <v>244.328358208955</v>
      </c>
      <c r="AF696">
        <f>[95]Kyllo_etal_2003_Fig1b!B4</f>
        <v>0.46960167714884599</v>
      </c>
      <c r="AK696" t="s">
        <v>44</v>
      </c>
    </row>
    <row r="697" spans="1:37" hidden="1" x14ac:dyDescent="0.25">
      <c r="A697" t="s">
        <v>279</v>
      </c>
      <c r="B697" t="s">
        <v>280</v>
      </c>
      <c r="C697" t="s">
        <v>281</v>
      </c>
      <c r="D697" t="s">
        <v>282</v>
      </c>
      <c r="E697" t="s">
        <v>17</v>
      </c>
      <c r="F697" s="8" t="s">
        <v>114</v>
      </c>
      <c r="G697" t="s">
        <v>762</v>
      </c>
      <c r="H697" t="s">
        <v>762</v>
      </c>
      <c r="I697" t="s">
        <v>705</v>
      </c>
      <c r="J697">
        <f t="shared" si="97"/>
        <v>120</v>
      </c>
      <c r="K697" t="s">
        <v>752</v>
      </c>
      <c r="L697" t="s">
        <v>482</v>
      </c>
      <c r="M697" t="s">
        <v>707</v>
      </c>
      <c r="N697" t="s">
        <v>210</v>
      </c>
      <c r="O697" t="s">
        <v>707</v>
      </c>
      <c r="R697" t="s">
        <v>408</v>
      </c>
      <c r="S697" t="s">
        <v>701</v>
      </c>
      <c r="T697" t="s">
        <v>695</v>
      </c>
      <c r="U697" t="s">
        <v>609</v>
      </c>
      <c r="V697" s="1" t="s">
        <v>733</v>
      </c>
      <c r="W697" s="1">
        <f t="shared" si="98"/>
        <v>8.2478039147296258E-10</v>
      </c>
      <c r="X697" s="1"/>
      <c r="Y697" s="1">
        <f>[91]Kyllo_etal_2003_Fig2b!C5</f>
        <v>3.0843373493975901E-9</v>
      </c>
      <c r="AB697" s="1">
        <f>[92]Kyllo_etal_2003_Fig2a!C5</f>
        <v>6.9969411375661301E-8</v>
      </c>
      <c r="AC697" s="1">
        <f>[93]Kyllo_etal_2003_Fig2c!C5</f>
        <v>3.7931034482758601E-8</v>
      </c>
      <c r="AD697" s="2">
        <f>[94]Kyllo_etal_2003_Fig1!B5</f>
        <v>117.877280265339</v>
      </c>
      <c r="AF697">
        <f>[95]Kyllo_etal_2003_Fig1b!B5</f>
        <v>0.26834381551362602</v>
      </c>
      <c r="AK697" t="s">
        <v>44</v>
      </c>
    </row>
    <row r="698" spans="1:37" hidden="1" x14ac:dyDescent="0.25">
      <c r="A698" t="s">
        <v>279</v>
      </c>
      <c r="B698" t="s">
        <v>283</v>
      </c>
      <c r="C698" t="s">
        <v>281</v>
      </c>
      <c r="D698" t="s">
        <v>282</v>
      </c>
      <c r="E698" t="s">
        <v>17</v>
      </c>
      <c r="F698" s="8" t="s">
        <v>114</v>
      </c>
      <c r="G698" t="s">
        <v>762</v>
      </c>
      <c r="H698" t="s">
        <v>762</v>
      </c>
      <c r="I698" t="s">
        <v>705</v>
      </c>
      <c r="J698">
        <f t="shared" si="97"/>
        <v>120</v>
      </c>
      <c r="K698" t="s">
        <v>752</v>
      </c>
      <c r="L698" t="s">
        <v>481</v>
      </c>
      <c r="M698" t="s">
        <v>707</v>
      </c>
      <c r="N698" t="s">
        <v>349</v>
      </c>
      <c r="O698" t="s">
        <v>707</v>
      </c>
      <c r="R698" t="s">
        <v>408</v>
      </c>
      <c r="S698" t="s">
        <v>701</v>
      </c>
      <c r="T698" t="s">
        <v>695</v>
      </c>
      <c r="U698" t="s">
        <v>609</v>
      </c>
      <c r="V698" s="1" t="s">
        <v>733</v>
      </c>
      <c r="W698" s="1">
        <f t="shared" si="98"/>
        <v>1.8692627717891957E-9</v>
      </c>
      <c r="X698" s="1"/>
      <c r="Y698" s="1">
        <f>[91]Kyllo_etal_2003_Fig2b!C6</f>
        <v>1.8353413654618401E-9</v>
      </c>
      <c r="AB698" s="1">
        <f>[92]Kyllo_etal_2003_Fig2a!C6</f>
        <v>8.1336805555555506E-8</v>
      </c>
      <c r="AC698" s="1">
        <f>[93]Kyllo_etal_2003_Fig2c!C6</f>
        <v>6.6666666666666602E-8</v>
      </c>
      <c r="AD698" s="2">
        <f>[94]Kyllo_etal_2003_Fig1!B6</f>
        <v>229.81757877280199</v>
      </c>
      <c r="AF698">
        <f>[95]Kyllo_etal_2003_Fig1b!B6</f>
        <v>0.94339622641509402</v>
      </c>
      <c r="AK698" t="s">
        <v>44</v>
      </c>
    </row>
    <row r="699" spans="1:37" hidden="1" x14ac:dyDescent="0.25">
      <c r="A699" t="s">
        <v>279</v>
      </c>
      <c r="B699" t="s">
        <v>283</v>
      </c>
      <c r="C699" t="s">
        <v>281</v>
      </c>
      <c r="D699" t="s">
        <v>282</v>
      </c>
      <c r="E699" t="s">
        <v>17</v>
      </c>
      <c r="F699" s="8" t="s">
        <v>114</v>
      </c>
      <c r="G699" t="s">
        <v>762</v>
      </c>
      <c r="H699" t="s">
        <v>762</v>
      </c>
      <c r="I699" t="s">
        <v>705</v>
      </c>
      <c r="J699">
        <f t="shared" si="97"/>
        <v>120</v>
      </c>
      <c r="K699" t="s">
        <v>752</v>
      </c>
      <c r="L699" t="s">
        <v>481</v>
      </c>
      <c r="M699" t="s">
        <v>707</v>
      </c>
      <c r="N699" t="s">
        <v>210</v>
      </c>
      <c r="O699" t="s">
        <v>707</v>
      </c>
      <c r="R699" t="s">
        <v>408</v>
      </c>
      <c r="S699" t="s">
        <v>701</v>
      </c>
      <c r="T699" t="s">
        <v>695</v>
      </c>
      <c r="U699" t="s">
        <v>609</v>
      </c>
      <c r="V699" s="1" t="s">
        <v>733</v>
      </c>
      <c r="W699" s="1">
        <f t="shared" si="98"/>
        <v>6.3030849253511891E-10</v>
      </c>
      <c r="X699" s="1"/>
      <c r="Y699" s="1">
        <f>[91]Kyllo_etal_2003_Fig2b!C7</f>
        <v>2.0763052208835303E-9</v>
      </c>
      <c r="AB699" s="1">
        <f>[92]Kyllo_etal_2003_Fig2a!C7</f>
        <v>8.0303406084656011E-8</v>
      </c>
      <c r="AC699" s="1">
        <f>[93]Kyllo_etal_2003_Fig2c!C7</f>
        <v>5.6321839080459697E-8</v>
      </c>
      <c r="AD699" s="2">
        <f>[94]Kyllo_etal_2003_Fig1!B7</f>
        <v>78.490878938640094</v>
      </c>
      <c r="AF699">
        <f>[95]Kyllo_etal_2003_Fig1b!B7</f>
        <v>0.23899371069182401</v>
      </c>
      <c r="AK699" t="s">
        <v>44</v>
      </c>
    </row>
    <row r="700" spans="1:37" hidden="1" x14ac:dyDescent="0.25">
      <c r="A700" t="s">
        <v>279</v>
      </c>
      <c r="B700" t="s">
        <v>283</v>
      </c>
      <c r="C700" t="s">
        <v>281</v>
      </c>
      <c r="D700" t="s">
        <v>282</v>
      </c>
      <c r="E700" t="s">
        <v>17</v>
      </c>
      <c r="F700" s="8" t="s">
        <v>114</v>
      </c>
      <c r="G700" t="s">
        <v>762</v>
      </c>
      <c r="H700" t="s">
        <v>762</v>
      </c>
      <c r="I700" t="s">
        <v>705</v>
      </c>
      <c r="J700">
        <f t="shared" si="97"/>
        <v>120</v>
      </c>
      <c r="K700" t="s">
        <v>752</v>
      </c>
      <c r="L700" t="s">
        <v>482</v>
      </c>
      <c r="M700" t="s">
        <v>707</v>
      </c>
      <c r="N700" t="s">
        <v>349</v>
      </c>
      <c r="O700" t="s">
        <v>707</v>
      </c>
      <c r="R700" t="s">
        <v>408</v>
      </c>
      <c r="S700" t="s">
        <v>701</v>
      </c>
      <c r="T700" t="s">
        <v>695</v>
      </c>
      <c r="U700" t="s">
        <v>609</v>
      </c>
      <c r="V700" s="1" t="s">
        <v>733</v>
      </c>
      <c r="W700" s="1">
        <f t="shared" si="98"/>
        <v>4.2469027492607367E-10</v>
      </c>
      <c r="X700" s="1"/>
      <c r="Y700" s="1">
        <f>[91]Kyllo_etal_2003_Fig2b!C8</f>
        <v>4.2449799196787098E-9</v>
      </c>
      <c r="AB700" s="1">
        <f>[92]Kyllo_etal_2003_Fig2a!C8</f>
        <v>8.9604001322751307E-8</v>
      </c>
      <c r="AC700" s="1">
        <f>[93]Kyllo_etal_2003_Fig2c!C8</f>
        <v>3.0459770114942506E-8</v>
      </c>
      <c r="AD700" s="2">
        <f>[94]Kyllo_etal_2003_Fig1!B8</f>
        <v>47.396351575455903</v>
      </c>
      <c r="AF700">
        <f>[95]Kyllo_etal_2003_Fig1b!B8</f>
        <v>0.10482180293501001</v>
      </c>
      <c r="AK700" t="s">
        <v>44</v>
      </c>
    </row>
    <row r="701" spans="1:37" hidden="1" x14ac:dyDescent="0.25">
      <c r="A701" t="s">
        <v>279</v>
      </c>
      <c r="B701" t="s">
        <v>283</v>
      </c>
      <c r="C701" t="s">
        <v>281</v>
      </c>
      <c r="D701" t="s">
        <v>282</v>
      </c>
      <c r="E701" t="s">
        <v>17</v>
      </c>
      <c r="F701" s="8" t="s">
        <v>114</v>
      </c>
      <c r="G701" t="s">
        <v>762</v>
      </c>
      <c r="H701" t="s">
        <v>762</v>
      </c>
      <c r="I701" t="s">
        <v>705</v>
      </c>
      <c r="J701">
        <f t="shared" si="97"/>
        <v>120</v>
      </c>
      <c r="K701" t="s">
        <v>752</v>
      </c>
      <c r="L701" t="s">
        <v>482</v>
      </c>
      <c r="M701" t="s">
        <v>707</v>
      </c>
      <c r="N701" t="s">
        <v>210</v>
      </c>
      <c r="O701" t="s">
        <v>707</v>
      </c>
      <c r="R701" t="s">
        <v>408</v>
      </c>
      <c r="S701" t="s">
        <v>701</v>
      </c>
      <c r="T701" t="s">
        <v>695</v>
      </c>
      <c r="U701" t="s">
        <v>609</v>
      </c>
      <c r="V701" s="1" t="s">
        <v>733</v>
      </c>
      <c r="W701" s="1">
        <f t="shared" si="98"/>
        <v>2.8095263458939799E-10</v>
      </c>
      <c r="X701" s="1"/>
      <c r="Y701" s="1">
        <f>[91]Kyllo_etal_2003_Fig2b!C9</f>
        <v>2.0963855421686703E-9</v>
      </c>
      <c r="AB701" s="1">
        <f>[92]Kyllo_etal_2003_Fig2a!C9</f>
        <v>5.2401620370370304E-8</v>
      </c>
      <c r="AC701" s="1">
        <f>[93]Kyllo_etal_2003_Fig2c!C9</f>
        <v>3.7068965517241402E-8</v>
      </c>
      <c r="AD701" s="2">
        <f>[94]Kyllo_etal_2003_Fig1!B9</f>
        <v>53.615257048092801</v>
      </c>
      <c r="AF701">
        <f>[95]Kyllo_etal_2003_Fig1b!B9</f>
        <v>0.12997903563941299</v>
      </c>
      <c r="AK701" t="s">
        <v>44</v>
      </c>
    </row>
    <row r="702" spans="1:37" hidden="1" x14ac:dyDescent="0.25">
      <c r="A702" t="s">
        <v>279</v>
      </c>
      <c r="B702" t="s">
        <v>284</v>
      </c>
      <c r="C702" t="s">
        <v>285</v>
      </c>
      <c r="D702" t="s">
        <v>286</v>
      </c>
      <c r="E702" t="s">
        <v>17</v>
      </c>
      <c r="F702" s="8" t="s">
        <v>114</v>
      </c>
      <c r="G702" t="s">
        <v>762</v>
      </c>
      <c r="H702" t="s">
        <v>762</v>
      </c>
      <c r="I702" t="s">
        <v>705</v>
      </c>
      <c r="J702">
        <f t="shared" si="97"/>
        <v>120</v>
      </c>
      <c r="K702" t="s">
        <v>752</v>
      </c>
      <c r="L702" t="s">
        <v>481</v>
      </c>
      <c r="M702" t="s">
        <v>707</v>
      </c>
      <c r="N702" t="s">
        <v>349</v>
      </c>
      <c r="O702" t="s">
        <v>707</v>
      </c>
      <c r="R702" t="s">
        <v>408</v>
      </c>
      <c r="S702" t="s">
        <v>701</v>
      </c>
      <c r="T702" t="s">
        <v>695</v>
      </c>
      <c r="U702" t="s">
        <v>609</v>
      </c>
      <c r="V702" s="1" t="s">
        <v>733</v>
      </c>
      <c r="W702" s="1">
        <f t="shared" si="98"/>
        <v>2.9680320427185044E-9</v>
      </c>
      <c r="X702" s="1"/>
      <c r="Y702" s="1">
        <f>[91]Kyllo_etal_2003_Fig2b!C10</f>
        <v>1.65461847389558E-9</v>
      </c>
      <c r="AB702" s="1">
        <f>[92]Kyllo_etal_2003_Fig2a!C10</f>
        <v>5.4468419312169307E-8</v>
      </c>
      <c r="AC702" s="1">
        <f>[93]Kyllo_etal_2003_Fig2c!C10</f>
        <v>1.2557471264367802E-7</v>
      </c>
      <c r="AD702" s="2">
        <f>[94]Kyllo_etal_2003_Fig1!B10</f>
        <v>544.90878938640105</v>
      </c>
      <c r="AF702">
        <f>[95]Kyllo_etal_2003_Fig1b!B10</f>
        <v>1.7945492662473701</v>
      </c>
      <c r="AK702" t="s">
        <v>44</v>
      </c>
    </row>
    <row r="703" spans="1:37" hidden="1" x14ac:dyDescent="0.25">
      <c r="A703" t="s">
        <v>279</v>
      </c>
      <c r="B703" t="s">
        <v>284</v>
      </c>
      <c r="C703" t="s">
        <v>285</v>
      </c>
      <c r="D703" t="s">
        <v>286</v>
      </c>
      <c r="E703" t="s">
        <v>17</v>
      </c>
      <c r="F703" s="8" t="s">
        <v>114</v>
      </c>
      <c r="G703" t="s">
        <v>762</v>
      </c>
      <c r="H703" t="s">
        <v>762</v>
      </c>
      <c r="I703" t="s">
        <v>705</v>
      </c>
      <c r="J703">
        <f t="shared" si="97"/>
        <v>120</v>
      </c>
      <c r="K703" t="s">
        <v>752</v>
      </c>
      <c r="L703" t="s">
        <v>481</v>
      </c>
      <c r="M703" t="s">
        <v>707</v>
      </c>
      <c r="N703" t="s">
        <v>210</v>
      </c>
      <c r="O703" t="s">
        <v>707</v>
      </c>
      <c r="R703" t="s">
        <v>408</v>
      </c>
      <c r="S703" t="s">
        <v>701</v>
      </c>
      <c r="T703" t="s">
        <v>695</v>
      </c>
      <c r="U703" t="s">
        <v>609</v>
      </c>
      <c r="V703" s="1" t="s">
        <v>733</v>
      </c>
      <c r="W703" s="1">
        <f t="shared" si="98"/>
        <v>2.4765426271968985E-9</v>
      </c>
      <c r="X703" s="1"/>
      <c r="Y703" s="1">
        <f>[91]Kyllo_etal_2003_Fig2b!C11</f>
        <v>2.13654618473895E-9</v>
      </c>
      <c r="AB703" s="1">
        <f>[92]Kyllo_etal_2003_Fig2a!C11</f>
        <v>5.8602017195767102E-8</v>
      </c>
      <c r="AC703" s="1">
        <f>[93]Kyllo_etal_2003_Fig2c!C11</f>
        <v>1.4770114942528703E-7</v>
      </c>
      <c r="AD703" s="2">
        <f>[94]Kyllo_etal_2003_Fig1!B11</f>
        <v>422.603648424543</v>
      </c>
      <c r="AF703">
        <f>[95]Kyllo_etal_2003_Fig1b!B11</f>
        <v>1.29979035639413</v>
      </c>
      <c r="AK703" t="s">
        <v>44</v>
      </c>
    </row>
    <row r="704" spans="1:37" hidden="1" x14ac:dyDescent="0.25">
      <c r="A704" t="s">
        <v>279</v>
      </c>
      <c r="B704" t="s">
        <v>284</v>
      </c>
      <c r="C704" t="s">
        <v>285</v>
      </c>
      <c r="D704" t="s">
        <v>286</v>
      </c>
      <c r="E704" t="s">
        <v>17</v>
      </c>
      <c r="F704" s="8" t="s">
        <v>114</v>
      </c>
      <c r="G704" t="s">
        <v>762</v>
      </c>
      <c r="H704" t="s">
        <v>762</v>
      </c>
      <c r="I704" t="s">
        <v>705</v>
      </c>
      <c r="J704">
        <f t="shared" si="97"/>
        <v>120</v>
      </c>
      <c r="K704" t="s">
        <v>752</v>
      </c>
      <c r="L704" t="s">
        <v>482</v>
      </c>
      <c r="M704" t="s">
        <v>707</v>
      </c>
      <c r="N704" t="s">
        <v>349</v>
      </c>
      <c r="O704" t="s">
        <v>707</v>
      </c>
      <c r="R704" t="s">
        <v>408</v>
      </c>
      <c r="S704" t="s">
        <v>701</v>
      </c>
      <c r="T704" t="s">
        <v>695</v>
      </c>
      <c r="U704" t="s">
        <v>609</v>
      </c>
      <c r="V704" s="1" t="s">
        <v>733</v>
      </c>
      <c r="W704" s="1">
        <f t="shared" si="98"/>
        <v>5.2805626248305068E-9</v>
      </c>
      <c r="X704" s="1"/>
      <c r="Y704" s="1">
        <f>[91]Kyllo_etal_2003_Fig2b!C12</f>
        <v>5.7710843373493905E-9</v>
      </c>
      <c r="AB704" s="1">
        <f>[92]Kyllo_etal_2003_Fig2a!C12</f>
        <v>1.1828083664021102E-7</v>
      </c>
      <c r="AC704" s="1">
        <f>[93]Kyllo_etal_2003_Fig2c!C12</f>
        <v>1.1925287356321802E-7</v>
      </c>
      <c r="AD704" s="2">
        <f>[94]Kyllo_etal_2003_Fig1!B12</f>
        <v>446.44278606965099</v>
      </c>
      <c r="AF704">
        <f>[95]Kyllo_etal_2003_Fig1b!B12</f>
        <v>0.98113207547169801</v>
      </c>
      <c r="AK704" t="s">
        <v>44</v>
      </c>
    </row>
    <row r="705" spans="1:37" hidden="1" x14ac:dyDescent="0.25">
      <c r="A705" t="s">
        <v>279</v>
      </c>
      <c r="B705" t="s">
        <v>284</v>
      </c>
      <c r="C705" t="s">
        <v>285</v>
      </c>
      <c r="D705" t="s">
        <v>286</v>
      </c>
      <c r="E705" t="s">
        <v>17</v>
      </c>
      <c r="F705" s="8" t="s">
        <v>114</v>
      </c>
      <c r="G705" t="s">
        <v>762</v>
      </c>
      <c r="H705" t="s">
        <v>762</v>
      </c>
      <c r="I705" t="s">
        <v>705</v>
      </c>
      <c r="J705">
        <f t="shared" si="97"/>
        <v>120</v>
      </c>
      <c r="K705" t="s">
        <v>752</v>
      </c>
      <c r="L705" t="s">
        <v>482</v>
      </c>
      <c r="M705" t="s">
        <v>707</v>
      </c>
      <c r="N705" t="s">
        <v>210</v>
      </c>
      <c r="O705" t="s">
        <v>707</v>
      </c>
      <c r="R705" t="s">
        <v>408</v>
      </c>
      <c r="S705" t="s">
        <v>701</v>
      </c>
      <c r="T705" t="s">
        <v>695</v>
      </c>
      <c r="U705" t="s">
        <v>609</v>
      </c>
      <c r="V705" s="1" t="s">
        <v>733</v>
      </c>
      <c r="W705" s="1">
        <f t="shared" si="98"/>
        <v>1.9886666822961893E-9</v>
      </c>
      <c r="X705" s="1"/>
      <c r="Y705" s="1">
        <f>[91]Kyllo_etal_2003_Fig2b!C13</f>
        <v>4.4156626506024105E-9</v>
      </c>
      <c r="AB705" s="1">
        <f>[92]Kyllo_etal_2003_Fig2a!C13</f>
        <v>6.7385912698412696E-8</v>
      </c>
      <c r="AC705" s="1">
        <f>[93]Kyllo_etal_2003_Fig2c!C13</f>
        <v>1.4482758620689601E-7</v>
      </c>
      <c r="AD705" s="2">
        <f>[94]Kyllo_etal_2003_Fig1!B13</f>
        <v>295.11608623548898</v>
      </c>
      <c r="AF705">
        <f>[95]Kyllo_etal_2003_Fig1b!B13</f>
        <v>0.82180293501048196</v>
      </c>
      <c r="AK705" t="s">
        <v>44</v>
      </c>
    </row>
    <row r="706" spans="1:37" hidden="1" x14ac:dyDescent="0.25">
      <c r="A706" t="s">
        <v>279</v>
      </c>
      <c r="B706" t="s">
        <v>287</v>
      </c>
      <c r="C706" t="s">
        <v>285</v>
      </c>
      <c r="D706" t="s">
        <v>286</v>
      </c>
      <c r="E706" t="s">
        <v>17</v>
      </c>
      <c r="F706" s="8" t="s">
        <v>114</v>
      </c>
      <c r="G706" t="s">
        <v>762</v>
      </c>
      <c r="H706" t="s">
        <v>762</v>
      </c>
      <c r="I706" t="s">
        <v>705</v>
      </c>
      <c r="J706">
        <f t="shared" si="97"/>
        <v>120</v>
      </c>
      <c r="K706" t="s">
        <v>752</v>
      </c>
      <c r="L706" t="s">
        <v>481</v>
      </c>
      <c r="M706" t="s">
        <v>707</v>
      </c>
      <c r="N706" t="s">
        <v>349</v>
      </c>
      <c r="O706" t="s">
        <v>707</v>
      </c>
      <c r="R706" t="s">
        <v>408</v>
      </c>
      <c r="S706" t="s">
        <v>701</v>
      </c>
      <c r="T706" t="s">
        <v>695</v>
      </c>
      <c r="U706" t="s">
        <v>609</v>
      </c>
      <c r="V706" s="1" t="s">
        <v>733</v>
      </c>
      <c r="W706" s="1">
        <f t="shared" si="98"/>
        <v>2.5738908281838127E-9</v>
      </c>
      <c r="X706" s="1"/>
      <c r="Y706" s="1">
        <f>[91]Kyllo_etal_2003_Fig2b!C14</f>
        <v>2.3975903614457803E-9</v>
      </c>
      <c r="AB706" s="1">
        <f>[92]Kyllo_etal_2003_Fig2a!C14</f>
        <v>7.2036210317460304E-8</v>
      </c>
      <c r="AC706" s="1">
        <f>[93]Kyllo_etal_2003_Fig2c!C14</f>
        <v>9.3103448275862002E-8</v>
      </c>
      <c r="AD706" s="2">
        <f>[94]Kyllo_etal_2003_Fig1!B14</f>
        <v>357.30514096185698</v>
      </c>
      <c r="AF706">
        <f>[95]Kyllo_etal_2003_Fig1b!B14</f>
        <v>1.0817610062892999</v>
      </c>
      <c r="AK706" t="s">
        <v>44</v>
      </c>
    </row>
    <row r="707" spans="1:37" hidden="1" x14ac:dyDescent="0.25">
      <c r="A707" t="s">
        <v>279</v>
      </c>
      <c r="B707" t="s">
        <v>287</v>
      </c>
      <c r="C707" t="s">
        <v>285</v>
      </c>
      <c r="D707" t="s">
        <v>286</v>
      </c>
      <c r="E707" t="s">
        <v>17</v>
      </c>
      <c r="F707" s="8" t="s">
        <v>114</v>
      </c>
      <c r="G707" t="s">
        <v>762</v>
      </c>
      <c r="H707" t="s">
        <v>762</v>
      </c>
      <c r="I707" t="s">
        <v>705</v>
      </c>
      <c r="J707">
        <f t="shared" si="97"/>
        <v>120</v>
      </c>
      <c r="K707" t="s">
        <v>752</v>
      </c>
      <c r="L707" t="s">
        <v>481</v>
      </c>
      <c r="M707" t="s">
        <v>707</v>
      </c>
      <c r="N707" t="s">
        <v>210</v>
      </c>
      <c r="O707" t="s">
        <v>707</v>
      </c>
      <c r="R707" t="s">
        <v>408</v>
      </c>
      <c r="S707" t="s">
        <v>701</v>
      </c>
      <c r="T707" t="s">
        <v>695</v>
      </c>
      <c r="U707" t="s">
        <v>609</v>
      </c>
      <c r="V707" s="1" t="s">
        <v>733</v>
      </c>
      <c r="W707" s="1">
        <f t="shared" si="98"/>
        <v>1.8794947975620096E-9</v>
      </c>
      <c r="X707" s="1"/>
      <c r="Y707" s="1">
        <f>[91]Kyllo_etal_2003_Fig2b!C15</f>
        <v>2.15662650602409E-9</v>
      </c>
      <c r="AB707" s="1">
        <f>[92]Kyllo_etal_2003_Fig2a!C15</f>
        <v>5.9118716931216909E-8</v>
      </c>
      <c r="AC707" s="1">
        <f>[93]Kyllo_etal_2003_Fig2c!C15</f>
        <v>8.7356321839080398E-8</v>
      </c>
      <c r="AD707" s="2">
        <f>[94]Kyllo_etal_2003_Fig1!B15</f>
        <v>317.91873963515701</v>
      </c>
      <c r="AF707">
        <f>[95]Kyllo_etal_2003_Fig1b!B15</f>
        <v>0.88050314465408797</v>
      </c>
      <c r="AK707" t="s">
        <v>44</v>
      </c>
    </row>
    <row r="708" spans="1:37" hidden="1" x14ac:dyDescent="0.25">
      <c r="A708" t="s">
        <v>279</v>
      </c>
      <c r="B708" t="s">
        <v>287</v>
      </c>
      <c r="C708" t="s">
        <v>285</v>
      </c>
      <c r="D708" t="s">
        <v>286</v>
      </c>
      <c r="E708" t="s">
        <v>17</v>
      </c>
      <c r="F708" s="8" t="s">
        <v>114</v>
      </c>
      <c r="G708" t="s">
        <v>762</v>
      </c>
      <c r="H708" t="s">
        <v>762</v>
      </c>
      <c r="I708" t="s">
        <v>705</v>
      </c>
      <c r="J708">
        <f t="shared" si="97"/>
        <v>120</v>
      </c>
      <c r="K708" t="s">
        <v>752</v>
      </c>
      <c r="L708" t="s">
        <v>482</v>
      </c>
      <c r="M708" t="s">
        <v>707</v>
      </c>
      <c r="N708" t="s">
        <v>349</v>
      </c>
      <c r="O708" t="s">
        <v>707</v>
      </c>
      <c r="R708" t="s">
        <v>408</v>
      </c>
      <c r="S708" t="s">
        <v>701</v>
      </c>
      <c r="T708" t="s">
        <v>695</v>
      </c>
      <c r="U708" t="s">
        <v>609</v>
      </c>
      <c r="V708" s="1" t="s">
        <v>733</v>
      </c>
      <c r="W708" s="1">
        <f t="shared" si="98"/>
        <v>2.7240589381136606E-9</v>
      </c>
      <c r="X708" s="1"/>
      <c r="Y708" s="1">
        <f>[91]Kyllo_etal_2003_Fig2b!C16</f>
        <v>4.3052208835341299E-9</v>
      </c>
      <c r="AB708" s="1">
        <f>[92]Kyllo_etal_2003_Fig2a!C16</f>
        <v>9.8904596560846509E-8</v>
      </c>
      <c r="AC708" s="1">
        <f>[93]Kyllo_etal_2003_Fig2c!C16</f>
        <v>6.954022988505751E-8</v>
      </c>
      <c r="AD708" s="2">
        <f>[94]Kyllo_etal_2003_Fig1!B16</f>
        <v>275.42288557213902</v>
      </c>
      <c r="AF708">
        <f>[95]Kyllo_etal_2003_Fig1b!B16</f>
        <v>0.62893081761006198</v>
      </c>
      <c r="AK708" t="s">
        <v>44</v>
      </c>
    </row>
    <row r="709" spans="1:37" hidden="1" x14ac:dyDescent="0.25">
      <c r="A709" t="s">
        <v>279</v>
      </c>
      <c r="B709" t="s">
        <v>287</v>
      </c>
      <c r="C709" t="s">
        <v>285</v>
      </c>
      <c r="D709" t="s">
        <v>286</v>
      </c>
      <c r="E709" t="s">
        <v>17</v>
      </c>
      <c r="F709" s="8" t="s">
        <v>114</v>
      </c>
      <c r="G709" t="s">
        <v>762</v>
      </c>
      <c r="H709" t="s">
        <v>762</v>
      </c>
      <c r="I709" t="s">
        <v>705</v>
      </c>
      <c r="J709">
        <f t="shared" si="97"/>
        <v>120</v>
      </c>
      <c r="K709" t="s">
        <v>752</v>
      </c>
      <c r="L709" t="s">
        <v>482</v>
      </c>
      <c r="M709" t="s">
        <v>707</v>
      </c>
      <c r="N709" t="s">
        <v>210</v>
      </c>
      <c r="O709" t="s">
        <v>707</v>
      </c>
      <c r="R709" t="s">
        <v>408</v>
      </c>
      <c r="S709" t="s">
        <v>701</v>
      </c>
      <c r="T709" t="s">
        <v>695</v>
      </c>
      <c r="U709" t="s">
        <v>609</v>
      </c>
      <c r="V709" s="1" t="s">
        <v>733</v>
      </c>
      <c r="W709" s="1">
        <f t="shared" si="98"/>
        <v>1.6743050208612966E-9</v>
      </c>
      <c r="X709" s="1"/>
      <c r="Y709" s="1">
        <f>[91]Kyllo_etal_2003_Fig2b!C17</f>
        <v>2.3072289156626502E-9</v>
      </c>
      <c r="AB709" s="1">
        <f>[92]Kyllo_etal_2003_Fig2a!C17</f>
        <v>5.6535218253968204E-8</v>
      </c>
      <c r="AC709" s="1">
        <f>[93]Kyllo_etal_2003_Fig2c!C17</f>
        <v>4.9999999999999905E-8</v>
      </c>
      <c r="AD709" s="2">
        <f>[94]Kyllo_etal_2003_Fig1!B17</f>
        <v>296.15257048092798</v>
      </c>
      <c r="AF709">
        <f>[95]Kyllo_etal_2003_Fig1b!B17</f>
        <v>0.70440251572326995</v>
      </c>
      <c r="AK709" t="s">
        <v>44</v>
      </c>
    </row>
    <row r="710" spans="1:37" hidden="1" x14ac:dyDescent="0.25">
      <c r="A710" t="s">
        <v>279</v>
      </c>
      <c r="B710" t="s">
        <v>288</v>
      </c>
      <c r="C710" t="s">
        <v>285</v>
      </c>
      <c r="D710" t="s">
        <v>286</v>
      </c>
      <c r="E710" t="s">
        <v>17</v>
      </c>
      <c r="F710" s="8" t="s">
        <v>114</v>
      </c>
      <c r="G710" t="s">
        <v>762</v>
      </c>
      <c r="H710" t="s">
        <v>762</v>
      </c>
      <c r="I710" t="s">
        <v>705</v>
      </c>
      <c r="J710">
        <f t="shared" si="97"/>
        <v>120</v>
      </c>
      <c r="K710" t="s">
        <v>752</v>
      </c>
      <c r="L710" t="s">
        <v>481</v>
      </c>
      <c r="M710" t="s">
        <v>707</v>
      </c>
      <c r="N710" t="s">
        <v>349</v>
      </c>
      <c r="O710" t="s">
        <v>707</v>
      </c>
      <c r="R710" t="s">
        <v>408</v>
      </c>
      <c r="S710" t="s">
        <v>701</v>
      </c>
      <c r="T710" t="s">
        <v>695</v>
      </c>
      <c r="U710" t="s">
        <v>609</v>
      </c>
      <c r="V710" s="1" t="s">
        <v>733</v>
      </c>
      <c r="W710" s="1">
        <f t="shared" si="98"/>
        <v>4.0394068019689616E-9</v>
      </c>
      <c r="X710" s="1"/>
      <c r="Y710" s="1">
        <f>[91]Kyllo_etal_2003_Fig2b!C18</f>
        <v>3.3413654618473802E-9</v>
      </c>
      <c r="AB710" s="1">
        <f>[92]Kyllo_etal_2003_Fig2a!C18</f>
        <v>1.2422288359788301E-7</v>
      </c>
      <c r="AC710" s="1">
        <f>[93]Kyllo_etal_2003_Fig2c!C18</f>
        <v>1.8534482758620602E-7</v>
      </c>
      <c r="AD710" s="2">
        <f>[94]Kyllo_etal_2003_Fig1!B18</f>
        <v>325.17412935323301</v>
      </c>
      <c r="AF710">
        <f>[95]Kyllo_etal_2003_Fig1b!B18</f>
        <v>1.1572327044025099</v>
      </c>
      <c r="AK710" t="s">
        <v>44</v>
      </c>
    </row>
    <row r="711" spans="1:37" hidden="1" x14ac:dyDescent="0.25">
      <c r="A711" t="s">
        <v>279</v>
      </c>
      <c r="B711" t="s">
        <v>288</v>
      </c>
      <c r="C711" t="s">
        <v>285</v>
      </c>
      <c r="D711" t="s">
        <v>286</v>
      </c>
      <c r="E711" t="s">
        <v>17</v>
      </c>
      <c r="F711" s="8" t="s">
        <v>114</v>
      </c>
      <c r="G711" t="s">
        <v>762</v>
      </c>
      <c r="H711" t="s">
        <v>762</v>
      </c>
      <c r="I711" t="s">
        <v>705</v>
      </c>
      <c r="J711">
        <f t="shared" si="97"/>
        <v>120</v>
      </c>
      <c r="K711" t="s">
        <v>752</v>
      </c>
      <c r="L711" t="s">
        <v>481</v>
      </c>
      <c r="M711" t="s">
        <v>707</v>
      </c>
      <c r="N711" t="s">
        <v>210</v>
      </c>
      <c r="O711" t="s">
        <v>707</v>
      </c>
      <c r="R711" t="s">
        <v>408</v>
      </c>
      <c r="S711" t="s">
        <v>701</v>
      </c>
      <c r="T711" t="s">
        <v>695</v>
      </c>
      <c r="U711" t="s">
        <v>609</v>
      </c>
      <c r="V711" s="1" t="s">
        <v>733</v>
      </c>
      <c r="W711" s="1">
        <f t="shared" si="98"/>
        <v>1.9747273573435679E-9</v>
      </c>
      <c r="X711" s="1"/>
      <c r="Y711" s="1">
        <f>[91]Kyllo_etal_2003_Fig2b!C19</f>
        <v>2.7590361445783101E-9</v>
      </c>
      <c r="AB711" s="1">
        <f>[92]Kyllo_etal_2003_Fig2a!C19</f>
        <v>8.3661954365079304E-8</v>
      </c>
      <c r="AC711" s="1">
        <f>[93]Kyllo_etal_2003_Fig2c!C19</f>
        <v>1.6839080459770101E-7</v>
      </c>
      <c r="AD711" s="2">
        <f>[94]Kyllo_etal_2003_Fig1!B19</f>
        <v>236.036484245439</v>
      </c>
      <c r="AF711">
        <f>[95]Kyllo_etal_2003_Fig1b!B19</f>
        <v>0.75052410901467503</v>
      </c>
      <c r="AK711" t="s">
        <v>44</v>
      </c>
    </row>
    <row r="712" spans="1:37" hidden="1" x14ac:dyDescent="0.25">
      <c r="A712" t="s">
        <v>279</v>
      </c>
      <c r="B712" t="s">
        <v>288</v>
      </c>
      <c r="C712" t="s">
        <v>285</v>
      </c>
      <c r="D712" t="s">
        <v>286</v>
      </c>
      <c r="E712" t="s">
        <v>17</v>
      </c>
      <c r="F712" s="8" t="s">
        <v>114</v>
      </c>
      <c r="G712" t="s">
        <v>762</v>
      </c>
      <c r="H712" t="s">
        <v>762</v>
      </c>
      <c r="I712" t="s">
        <v>705</v>
      </c>
      <c r="J712">
        <f t="shared" si="97"/>
        <v>120</v>
      </c>
      <c r="K712" t="s">
        <v>752</v>
      </c>
      <c r="L712" t="s">
        <v>482</v>
      </c>
      <c r="M712" t="s">
        <v>707</v>
      </c>
      <c r="N712" t="s">
        <v>349</v>
      </c>
      <c r="O712" t="s">
        <v>707</v>
      </c>
      <c r="R712" t="s">
        <v>408</v>
      </c>
      <c r="S712" t="s">
        <v>701</v>
      </c>
      <c r="T712" t="s">
        <v>695</v>
      </c>
      <c r="U712" t="s">
        <v>609</v>
      </c>
      <c r="V712" s="1" t="s">
        <v>733</v>
      </c>
      <c r="W712" s="1">
        <f t="shared" si="98"/>
        <v>2.7458314481933199E-9</v>
      </c>
      <c r="X712" s="1"/>
      <c r="Y712" s="1">
        <f>[91]Kyllo_etal_2003_Fig2b!C20</f>
        <v>6.01204819277108E-9</v>
      </c>
      <c r="AB712" s="1">
        <f>[92]Kyllo_etal_2003_Fig2a!C20</f>
        <v>1.3817377645502601E-7</v>
      </c>
      <c r="AC712" s="1">
        <f>[93]Kyllo_etal_2003_Fig2c!C20</f>
        <v>9.6551724137931012E-8</v>
      </c>
      <c r="AD712" s="2">
        <f>[94]Kyllo_etal_2003_Fig1!B20</f>
        <v>198.72305140961799</v>
      </c>
      <c r="AF712">
        <f>[95]Kyllo_etal_2003_Fig1b!B20</f>
        <v>0.44863731656184402</v>
      </c>
      <c r="AK712" t="s">
        <v>44</v>
      </c>
    </row>
    <row r="713" spans="1:37" hidden="1" x14ac:dyDescent="0.25">
      <c r="A713" t="s">
        <v>279</v>
      </c>
      <c r="B713" t="s">
        <v>288</v>
      </c>
      <c r="C713" t="s">
        <v>285</v>
      </c>
      <c r="D713" t="s">
        <v>286</v>
      </c>
      <c r="E713" t="s">
        <v>17</v>
      </c>
      <c r="F713" s="8" t="s">
        <v>114</v>
      </c>
      <c r="G713" t="s">
        <v>762</v>
      </c>
      <c r="H713" t="s">
        <v>762</v>
      </c>
      <c r="I713" t="s">
        <v>705</v>
      </c>
      <c r="J713">
        <f t="shared" si="97"/>
        <v>120</v>
      </c>
      <c r="K713" t="s">
        <v>752</v>
      </c>
      <c r="L713" t="s">
        <v>482</v>
      </c>
      <c r="M713" t="s">
        <v>707</v>
      </c>
      <c r="N713" t="s">
        <v>210</v>
      </c>
      <c r="O713" t="s">
        <v>707</v>
      </c>
      <c r="R713" t="s">
        <v>408</v>
      </c>
      <c r="S713" t="s">
        <v>701</v>
      </c>
      <c r="T713" t="s">
        <v>695</v>
      </c>
      <c r="U713" t="s">
        <v>609</v>
      </c>
      <c r="V713" s="1" t="s">
        <v>733</v>
      </c>
      <c r="W713" s="1">
        <f t="shared" si="98"/>
        <v>1.5111221614590173E-9</v>
      </c>
      <c r="X713" s="1"/>
      <c r="Y713" s="1">
        <f>[91]Kyllo_etal_2003_Fig2b!C21</f>
        <v>3.9638554216867402E-9</v>
      </c>
      <c r="AB713" s="1">
        <f>[92]Kyllo_etal_2003_Fig2a!C21</f>
        <v>8.3920304232804204E-8</v>
      </c>
      <c r="AC713" s="1">
        <f>[93]Kyllo_etal_2003_Fig2c!C21</f>
        <v>9.4827586206896599E-8</v>
      </c>
      <c r="AD713" s="2">
        <f>[94]Kyllo_etal_2003_Fig1!B21</f>
        <v>180.066334991708</v>
      </c>
      <c r="AF713">
        <f>[95]Kyllo_etal_2003_Fig1b!B21</f>
        <v>0.40251572327044</v>
      </c>
      <c r="AK713" t="s">
        <v>44</v>
      </c>
    </row>
    <row r="714" spans="1:37" hidden="1" x14ac:dyDescent="0.25">
      <c r="A714" t="s">
        <v>795</v>
      </c>
      <c r="B714" t="s">
        <v>766</v>
      </c>
      <c r="C714" t="s">
        <v>767</v>
      </c>
      <c r="D714" t="s">
        <v>574</v>
      </c>
      <c r="E714" t="s">
        <v>17</v>
      </c>
      <c r="F714" t="s">
        <v>776</v>
      </c>
      <c r="G714" t="s">
        <v>776</v>
      </c>
      <c r="H714" t="s">
        <v>707</v>
      </c>
      <c r="I714" t="s">
        <v>775</v>
      </c>
      <c r="J714">
        <v>30</v>
      </c>
      <c r="K714" t="s">
        <v>744</v>
      </c>
      <c r="L714" t="s">
        <v>71</v>
      </c>
      <c r="M714" t="s">
        <v>707</v>
      </c>
      <c r="R714" t="s">
        <v>408</v>
      </c>
      <c r="S714" t="s">
        <v>701</v>
      </c>
      <c r="T714" t="s">
        <v>695</v>
      </c>
      <c r="U714" t="s">
        <v>609</v>
      </c>
      <c r="V714" s="1"/>
      <c r="W714" s="1"/>
      <c r="X714" s="1"/>
      <c r="Y714" s="1"/>
      <c r="AB714" s="1">
        <v>9.02E-8</v>
      </c>
      <c r="AC714" s="1"/>
      <c r="AD714" s="2"/>
      <c r="AK714" t="s">
        <v>199</v>
      </c>
    </row>
    <row r="715" spans="1:37" hidden="1" x14ac:dyDescent="0.25">
      <c r="A715" t="s">
        <v>795</v>
      </c>
      <c r="B715" t="s">
        <v>766</v>
      </c>
      <c r="C715" t="s">
        <v>767</v>
      </c>
      <c r="D715" t="s">
        <v>574</v>
      </c>
      <c r="E715" t="s">
        <v>17</v>
      </c>
      <c r="F715" t="s">
        <v>776</v>
      </c>
      <c r="G715" t="s">
        <v>776</v>
      </c>
      <c r="H715" t="s">
        <v>707</v>
      </c>
      <c r="I715" t="s">
        <v>775</v>
      </c>
      <c r="J715">
        <v>30</v>
      </c>
      <c r="K715" t="s">
        <v>744</v>
      </c>
      <c r="L715" t="s">
        <v>796</v>
      </c>
      <c r="M715" t="s">
        <v>707</v>
      </c>
      <c r="R715" t="s">
        <v>408</v>
      </c>
      <c r="S715" t="s">
        <v>701</v>
      </c>
      <c r="T715" t="s">
        <v>695</v>
      </c>
      <c r="U715" t="s">
        <v>609</v>
      </c>
      <c r="V715" s="1"/>
      <c r="W715" s="1"/>
      <c r="X715" s="1"/>
      <c r="Y715" s="1"/>
      <c r="AB715" s="1">
        <v>8.4699999999999997E-8</v>
      </c>
      <c r="AC715" s="1"/>
      <c r="AD715" s="2"/>
      <c r="AK715" t="s">
        <v>199</v>
      </c>
    </row>
    <row r="716" spans="1:37" hidden="1" x14ac:dyDescent="0.25">
      <c r="A716" t="s">
        <v>795</v>
      </c>
      <c r="B716" t="s">
        <v>766</v>
      </c>
      <c r="C716" t="s">
        <v>767</v>
      </c>
      <c r="D716" t="s">
        <v>574</v>
      </c>
      <c r="E716" t="s">
        <v>17</v>
      </c>
      <c r="F716" t="s">
        <v>776</v>
      </c>
      <c r="G716" t="s">
        <v>776</v>
      </c>
      <c r="H716" t="s">
        <v>707</v>
      </c>
      <c r="I716" t="s">
        <v>775</v>
      </c>
      <c r="J716">
        <v>30</v>
      </c>
      <c r="K716" t="s">
        <v>744</v>
      </c>
      <c r="L716" t="s">
        <v>797</v>
      </c>
      <c r="M716" t="s">
        <v>707</v>
      </c>
      <c r="R716" t="s">
        <v>408</v>
      </c>
      <c r="S716" t="s">
        <v>701</v>
      </c>
      <c r="T716" t="s">
        <v>695</v>
      </c>
      <c r="U716" t="s">
        <v>609</v>
      </c>
      <c r="V716" s="1"/>
      <c r="W716" s="1"/>
      <c r="X716" s="1"/>
      <c r="Y716" s="1"/>
      <c r="AB716" s="1">
        <v>8.42E-8</v>
      </c>
      <c r="AC716" s="1"/>
      <c r="AD716" s="2"/>
      <c r="AK716" t="s">
        <v>199</v>
      </c>
    </row>
    <row r="717" spans="1:37" hidden="1" x14ac:dyDescent="0.25">
      <c r="A717" t="s">
        <v>795</v>
      </c>
      <c r="B717" t="s">
        <v>766</v>
      </c>
      <c r="C717" t="s">
        <v>767</v>
      </c>
      <c r="D717" t="s">
        <v>574</v>
      </c>
      <c r="E717" t="s">
        <v>17</v>
      </c>
      <c r="F717" t="s">
        <v>776</v>
      </c>
      <c r="G717" t="s">
        <v>776</v>
      </c>
      <c r="H717" t="s">
        <v>707</v>
      </c>
      <c r="I717" t="s">
        <v>775</v>
      </c>
      <c r="J717">
        <v>30</v>
      </c>
      <c r="K717" t="s">
        <v>744</v>
      </c>
      <c r="L717" t="s">
        <v>71</v>
      </c>
      <c r="M717" t="s">
        <v>707</v>
      </c>
      <c r="R717" t="s">
        <v>408</v>
      </c>
      <c r="S717" t="s">
        <v>701</v>
      </c>
      <c r="T717" t="s">
        <v>695</v>
      </c>
      <c r="U717" t="s">
        <v>610</v>
      </c>
      <c r="V717" s="1"/>
      <c r="W717" s="1"/>
      <c r="X717" s="1"/>
      <c r="Y717" s="1"/>
      <c r="AB717" s="1">
        <v>2.9999999999999997E-8</v>
      </c>
      <c r="AC717" s="1"/>
      <c r="AD717" s="2"/>
      <c r="AK717" t="s">
        <v>348</v>
      </c>
    </row>
    <row r="718" spans="1:37" hidden="1" x14ac:dyDescent="0.25">
      <c r="A718" t="s">
        <v>795</v>
      </c>
      <c r="B718" t="s">
        <v>766</v>
      </c>
      <c r="C718" t="s">
        <v>767</v>
      </c>
      <c r="D718" t="s">
        <v>574</v>
      </c>
      <c r="E718" t="s">
        <v>17</v>
      </c>
      <c r="F718" t="s">
        <v>776</v>
      </c>
      <c r="G718" t="s">
        <v>776</v>
      </c>
      <c r="H718" t="s">
        <v>707</v>
      </c>
      <c r="I718" t="s">
        <v>775</v>
      </c>
      <c r="J718">
        <v>30</v>
      </c>
      <c r="K718" t="s">
        <v>744</v>
      </c>
      <c r="L718" t="s">
        <v>796</v>
      </c>
      <c r="M718" t="s">
        <v>707</v>
      </c>
      <c r="R718" t="s">
        <v>408</v>
      </c>
      <c r="S718" t="s">
        <v>701</v>
      </c>
      <c r="T718" t="s">
        <v>695</v>
      </c>
      <c r="U718" t="s">
        <v>610</v>
      </c>
      <c r="V718" s="1"/>
      <c r="W718" s="1"/>
      <c r="X718" s="1"/>
      <c r="Y718" s="1"/>
      <c r="AB718" s="1">
        <v>2.4999999999999999E-8</v>
      </c>
      <c r="AC718" s="1"/>
      <c r="AD718" s="2"/>
      <c r="AK718" t="s">
        <v>348</v>
      </c>
    </row>
    <row r="719" spans="1:37" hidden="1" x14ac:dyDescent="0.25">
      <c r="A719" t="s">
        <v>795</v>
      </c>
      <c r="B719" t="s">
        <v>766</v>
      </c>
      <c r="C719" t="s">
        <v>767</v>
      </c>
      <c r="D719" t="s">
        <v>574</v>
      </c>
      <c r="E719" t="s">
        <v>17</v>
      </c>
      <c r="F719" t="s">
        <v>776</v>
      </c>
      <c r="G719" t="s">
        <v>776</v>
      </c>
      <c r="H719" t="s">
        <v>707</v>
      </c>
      <c r="I719" t="s">
        <v>775</v>
      </c>
      <c r="J719">
        <v>30</v>
      </c>
      <c r="K719" t="s">
        <v>744</v>
      </c>
      <c r="L719" t="s">
        <v>797</v>
      </c>
      <c r="M719" t="s">
        <v>707</v>
      </c>
      <c r="R719" t="s">
        <v>408</v>
      </c>
      <c r="S719" t="s">
        <v>701</v>
      </c>
      <c r="T719" t="s">
        <v>695</v>
      </c>
      <c r="U719" t="s">
        <v>610</v>
      </c>
      <c r="V719" s="1"/>
      <c r="W719" s="1"/>
      <c r="X719" s="1"/>
      <c r="Y719" s="1"/>
      <c r="AB719" s="1">
        <v>2.4999999999999999E-8</v>
      </c>
      <c r="AC719" s="1"/>
      <c r="AD719" s="2"/>
      <c r="AK719" t="s">
        <v>348</v>
      </c>
    </row>
    <row r="720" spans="1:37" hidden="1" x14ac:dyDescent="0.25">
      <c r="A720" t="s">
        <v>525</v>
      </c>
      <c r="B720" t="s">
        <v>526</v>
      </c>
      <c r="C720" t="s">
        <v>273</v>
      </c>
      <c r="D720" t="s">
        <v>527</v>
      </c>
      <c r="E720" t="s">
        <v>17</v>
      </c>
      <c r="F720" t="s">
        <v>114</v>
      </c>
      <c r="G720" t="s">
        <v>762</v>
      </c>
      <c r="H720" t="s">
        <v>762</v>
      </c>
      <c r="I720" t="s">
        <v>705</v>
      </c>
      <c r="J720">
        <f t="shared" ref="J720:J723" si="99">15*30</f>
        <v>450</v>
      </c>
      <c r="K720" t="s">
        <v>477</v>
      </c>
      <c r="L720" t="s">
        <v>36</v>
      </c>
      <c r="M720" t="str">
        <f t="shared" ref="M720:M745" si="100">+IF(L720 = "Control", "Control", "Stress")</f>
        <v>Control</v>
      </c>
      <c r="R720" t="s">
        <v>408</v>
      </c>
      <c r="S720" t="s">
        <v>701</v>
      </c>
      <c r="T720" t="s">
        <v>695</v>
      </c>
      <c r="U720" t="s">
        <v>609</v>
      </c>
      <c r="V720" s="1" t="s">
        <v>733</v>
      </c>
      <c r="W720" s="1">
        <f t="shared" ref="W720:W723" si="101">+AC720*AI720</f>
        <v>1.4252379110251414E-9</v>
      </c>
      <c r="X720" s="1"/>
      <c r="Y720" s="1"/>
      <c r="Z720" s="1"/>
      <c r="AA720" s="1"/>
      <c r="AC720" s="1">
        <f>[96]Tyree_etal_2002_Fig5c!B2</f>
        <v>5.5241779497098502E-8</v>
      </c>
      <c r="AF720" s="2"/>
      <c r="AG720" s="2"/>
      <c r="AI720" s="10">
        <f t="shared" ref="AI720:AI723" si="102">258/10000</f>
        <v>2.58E-2</v>
      </c>
      <c r="AK720" t="s">
        <v>44</v>
      </c>
    </row>
    <row r="721" spans="1:37" hidden="1" x14ac:dyDescent="0.25">
      <c r="A721" t="s">
        <v>525</v>
      </c>
      <c r="B721" t="s">
        <v>526</v>
      </c>
      <c r="C721" t="s">
        <v>273</v>
      </c>
      <c r="D721" t="s">
        <v>527</v>
      </c>
      <c r="E721" t="s">
        <v>17</v>
      </c>
      <c r="F721" t="s">
        <v>114</v>
      </c>
      <c r="G721" t="s">
        <v>762</v>
      </c>
      <c r="H721" t="s">
        <v>762</v>
      </c>
      <c r="I721" t="s">
        <v>705</v>
      </c>
      <c r="J721">
        <f t="shared" si="99"/>
        <v>450</v>
      </c>
      <c r="K721" t="s">
        <v>477</v>
      </c>
      <c r="L721" t="s">
        <v>479</v>
      </c>
      <c r="M721" t="str">
        <f t="shared" si="100"/>
        <v>Stress</v>
      </c>
      <c r="R721" t="s">
        <v>408</v>
      </c>
      <c r="S721" t="s">
        <v>701</v>
      </c>
      <c r="T721" t="s">
        <v>695</v>
      </c>
      <c r="U721" t="s">
        <v>609</v>
      </c>
      <c r="V721" s="1" t="s">
        <v>733</v>
      </c>
      <c r="W721" s="1">
        <f t="shared" si="101"/>
        <v>1.4092688588007733E-9</v>
      </c>
      <c r="X721" s="1"/>
      <c r="Y721" s="1"/>
      <c r="Z721" s="1"/>
      <c r="AA721" s="1"/>
      <c r="AC721" s="1">
        <f>[96]Tyree_etal_2002_Fig5c!B3</f>
        <v>5.46228239845261E-8</v>
      </c>
      <c r="AF721" s="2"/>
      <c r="AG721" s="2"/>
      <c r="AI721" s="10">
        <f t="shared" si="102"/>
        <v>2.58E-2</v>
      </c>
      <c r="AK721" t="s">
        <v>44</v>
      </c>
    </row>
    <row r="722" spans="1:37" hidden="1" x14ac:dyDescent="0.25">
      <c r="A722" t="s">
        <v>525</v>
      </c>
      <c r="B722" t="s">
        <v>526</v>
      </c>
      <c r="C722" t="s">
        <v>273</v>
      </c>
      <c r="D722" t="s">
        <v>527</v>
      </c>
      <c r="E722" t="s">
        <v>17</v>
      </c>
      <c r="F722" t="s">
        <v>114</v>
      </c>
      <c r="G722" t="s">
        <v>762</v>
      </c>
      <c r="H722" t="s">
        <v>762</v>
      </c>
      <c r="I722" t="s">
        <v>705</v>
      </c>
      <c r="J722">
        <f t="shared" si="99"/>
        <v>450</v>
      </c>
      <c r="K722" t="s">
        <v>477</v>
      </c>
      <c r="L722" t="s">
        <v>478</v>
      </c>
      <c r="M722" t="str">
        <f t="shared" si="100"/>
        <v>Stress</v>
      </c>
      <c r="R722" t="s">
        <v>408</v>
      </c>
      <c r="S722" t="s">
        <v>701</v>
      </c>
      <c r="T722" t="s">
        <v>695</v>
      </c>
      <c r="U722" t="s">
        <v>609</v>
      </c>
      <c r="V722" s="1" t="s">
        <v>733</v>
      </c>
      <c r="W722" s="1">
        <f t="shared" si="101"/>
        <v>6.5073887814313198E-10</v>
      </c>
      <c r="X722" s="1"/>
      <c r="Y722" s="1"/>
      <c r="Z722" s="1"/>
      <c r="AA722" s="1"/>
      <c r="AC722" s="1">
        <f>[96]Tyree_etal_2002_Fig5c!B4</f>
        <v>2.5222437137330699E-8</v>
      </c>
      <c r="AF722" s="2"/>
      <c r="AG722" s="2"/>
      <c r="AI722" s="10">
        <f t="shared" si="102"/>
        <v>2.58E-2</v>
      </c>
      <c r="AK722" t="s">
        <v>44</v>
      </c>
    </row>
    <row r="723" spans="1:37" hidden="1" x14ac:dyDescent="0.25">
      <c r="A723" t="s">
        <v>525</v>
      </c>
      <c r="B723" t="s">
        <v>526</v>
      </c>
      <c r="C723" t="s">
        <v>273</v>
      </c>
      <c r="D723" t="s">
        <v>527</v>
      </c>
      <c r="E723" t="s">
        <v>17</v>
      </c>
      <c r="F723" t="s">
        <v>114</v>
      </c>
      <c r="G723" t="s">
        <v>762</v>
      </c>
      <c r="H723" t="s">
        <v>762</v>
      </c>
      <c r="I723" t="s">
        <v>705</v>
      </c>
      <c r="J723">
        <f t="shared" si="99"/>
        <v>450</v>
      </c>
      <c r="K723" t="s">
        <v>477</v>
      </c>
      <c r="L723" t="s">
        <v>480</v>
      </c>
      <c r="M723" t="str">
        <f t="shared" si="100"/>
        <v>Stress</v>
      </c>
      <c r="R723" t="s">
        <v>408</v>
      </c>
      <c r="S723" t="s">
        <v>701</v>
      </c>
      <c r="T723" t="s">
        <v>695</v>
      </c>
      <c r="U723" t="s">
        <v>609</v>
      </c>
      <c r="V723" s="1" t="s">
        <v>733</v>
      </c>
      <c r="W723" s="1">
        <f t="shared" si="101"/>
        <v>6.1880077369438847E-10</v>
      </c>
      <c r="X723" s="1"/>
      <c r="Y723" s="1"/>
      <c r="Z723" s="1"/>
      <c r="AA723" s="1"/>
      <c r="AC723" s="1">
        <f>[96]Tyree_etal_2002_Fig5c!B5</f>
        <v>2.39845261121856E-8</v>
      </c>
      <c r="AF723" s="2"/>
      <c r="AG723" s="2"/>
      <c r="AI723" s="10">
        <f t="shared" si="102"/>
        <v>2.58E-2</v>
      </c>
      <c r="AK723" t="s">
        <v>44</v>
      </c>
    </row>
    <row r="724" spans="1:37" hidden="1" x14ac:dyDescent="0.25">
      <c r="A724" t="s">
        <v>289</v>
      </c>
      <c r="B724" t="s">
        <v>290</v>
      </c>
      <c r="C724" t="s">
        <v>291</v>
      </c>
      <c r="D724" t="s">
        <v>34</v>
      </c>
      <c r="E724" t="s">
        <v>17</v>
      </c>
      <c r="F724" t="s">
        <v>614</v>
      </c>
      <c r="G724" t="s">
        <v>614</v>
      </c>
      <c r="H724" t="s">
        <v>801</v>
      </c>
      <c r="I724" t="s">
        <v>804</v>
      </c>
      <c r="K724" t="s">
        <v>402</v>
      </c>
      <c r="L724" t="s">
        <v>36</v>
      </c>
      <c r="M724" t="str">
        <f t="shared" si="100"/>
        <v>Control</v>
      </c>
      <c r="R724" t="s">
        <v>408</v>
      </c>
      <c r="S724" t="s">
        <v>701</v>
      </c>
      <c r="T724" t="s">
        <v>695</v>
      </c>
      <c r="U724" t="s">
        <v>609</v>
      </c>
      <c r="V724" s="1"/>
      <c r="W724" s="1"/>
      <c r="X724" s="1"/>
      <c r="AB724" s="1">
        <f>25.5*18*0.000000001</f>
        <v>4.5900000000000002E-7</v>
      </c>
      <c r="AK724" t="s">
        <v>44</v>
      </c>
    </row>
    <row r="725" spans="1:37" hidden="1" x14ac:dyDescent="0.25">
      <c r="A725" t="s">
        <v>289</v>
      </c>
      <c r="B725" t="s">
        <v>290</v>
      </c>
      <c r="C725" t="s">
        <v>291</v>
      </c>
      <c r="D725" t="s">
        <v>34</v>
      </c>
      <c r="E725" t="s">
        <v>17</v>
      </c>
      <c r="F725" t="s">
        <v>614</v>
      </c>
      <c r="G725" t="s">
        <v>614</v>
      </c>
      <c r="H725" t="s">
        <v>801</v>
      </c>
      <c r="I725" t="s">
        <v>804</v>
      </c>
      <c r="K725" t="s">
        <v>402</v>
      </c>
      <c r="L725" t="s">
        <v>703</v>
      </c>
      <c r="M725" t="str">
        <f t="shared" si="100"/>
        <v>Stress</v>
      </c>
      <c r="R725" t="s">
        <v>408</v>
      </c>
      <c r="S725" t="s">
        <v>701</v>
      </c>
      <c r="T725" t="s">
        <v>695</v>
      </c>
      <c r="U725" t="s">
        <v>609</v>
      </c>
      <c r="V725" s="1"/>
      <c r="W725" s="1"/>
      <c r="X725" s="1"/>
      <c r="AB725" s="1">
        <f>11.9*18*0.000000001</f>
        <v>2.1420000000000003E-7</v>
      </c>
      <c r="AK725" t="s">
        <v>44</v>
      </c>
    </row>
    <row r="726" spans="1:37" hidden="1" x14ac:dyDescent="0.25">
      <c r="A726" t="s">
        <v>292</v>
      </c>
      <c r="B726" t="s">
        <v>728</v>
      </c>
      <c r="C726" t="s">
        <v>195</v>
      </c>
      <c r="D726" t="s">
        <v>196</v>
      </c>
      <c r="E726" t="s">
        <v>17</v>
      </c>
      <c r="F726" t="s">
        <v>262</v>
      </c>
      <c r="G726" t="s">
        <v>612</v>
      </c>
      <c r="H726" t="s">
        <v>761</v>
      </c>
      <c r="I726" t="s">
        <v>705</v>
      </c>
      <c r="J726">
        <f>10*30+10*7</f>
        <v>370</v>
      </c>
      <c r="K726" t="s">
        <v>657</v>
      </c>
      <c r="L726" t="s">
        <v>36</v>
      </c>
      <c r="M726" t="str">
        <f t="shared" si="100"/>
        <v>Control</v>
      </c>
      <c r="N726" t="s">
        <v>210</v>
      </c>
      <c r="O726" t="s">
        <v>707</v>
      </c>
      <c r="R726" t="s">
        <v>408</v>
      </c>
      <c r="S726" t="s">
        <v>701</v>
      </c>
      <c r="T726" t="s">
        <v>695</v>
      </c>
      <c r="U726" t="s">
        <v>609</v>
      </c>
      <c r="V726" s="1" t="s">
        <v>774</v>
      </c>
      <c r="W726" s="1">
        <f>[97]Sheet1!A2</f>
        <v>2.4329896907216402E-9</v>
      </c>
      <c r="X726" s="1"/>
      <c r="AF726">
        <v>4.0999999999999996</v>
      </c>
      <c r="AK726" t="s">
        <v>44</v>
      </c>
    </row>
    <row r="727" spans="1:37" hidden="1" x14ac:dyDescent="0.25">
      <c r="A727" t="s">
        <v>292</v>
      </c>
      <c r="B727" t="s">
        <v>728</v>
      </c>
      <c r="C727" t="s">
        <v>195</v>
      </c>
      <c r="D727" t="s">
        <v>196</v>
      </c>
      <c r="E727" t="s">
        <v>17</v>
      </c>
      <c r="F727" t="s">
        <v>262</v>
      </c>
      <c r="G727" t="s">
        <v>612</v>
      </c>
      <c r="H727" t="s">
        <v>761</v>
      </c>
      <c r="I727" t="s">
        <v>705</v>
      </c>
      <c r="J727">
        <f>10*30+10*7</f>
        <v>370</v>
      </c>
      <c r="K727" t="s">
        <v>657</v>
      </c>
      <c r="L727" t="s">
        <v>81</v>
      </c>
      <c r="M727" t="str">
        <f t="shared" si="100"/>
        <v>Stress</v>
      </c>
      <c r="N727" t="s">
        <v>210</v>
      </c>
      <c r="O727" t="s">
        <v>707</v>
      </c>
      <c r="R727" t="s">
        <v>408</v>
      </c>
      <c r="S727" t="s">
        <v>701</v>
      </c>
      <c r="T727" t="s">
        <v>695</v>
      </c>
      <c r="U727" t="s">
        <v>609</v>
      </c>
      <c r="V727" s="1" t="s">
        <v>774</v>
      </c>
      <c r="W727" s="1">
        <f>[97]Sheet1!A3</f>
        <v>1.4845360824742201E-9</v>
      </c>
      <c r="X727" s="1"/>
      <c r="AF727">
        <v>4.3</v>
      </c>
      <c r="AK727" t="s">
        <v>44</v>
      </c>
    </row>
    <row r="728" spans="1:37" hidden="1" x14ac:dyDescent="0.25">
      <c r="A728" t="s">
        <v>292</v>
      </c>
      <c r="B728" t="s">
        <v>728</v>
      </c>
      <c r="C728" t="s">
        <v>195</v>
      </c>
      <c r="D728" t="s">
        <v>196</v>
      </c>
      <c r="E728" t="s">
        <v>17</v>
      </c>
      <c r="F728" t="s">
        <v>262</v>
      </c>
      <c r="G728" t="s">
        <v>612</v>
      </c>
      <c r="H728" t="s">
        <v>761</v>
      </c>
      <c r="I728" t="s">
        <v>705</v>
      </c>
      <c r="J728">
        <f>10*30+10*7</f>
        <v>370</v>
      </c>
      <c r="K728" t="s">
        <v>657</v>
      </c>
      <c r="L728" t="s">
        <v>36</v>
      </c>
      <c r="M728" t="str">
        <f t="shared" si="100"/>
        <v>Control</v>
      </c>
      <c r="N728" t="s">
        <v>349</v>
      </c>
      <c r="O728" t="s">
        <v>707</v>
      </c>
      <c r="R728" t="s">
        <v>408</v>
      </c>
      <c r="S728" t="s">
        <v>701</v>
      </c>
      <c r="T728" t="s">
        <v>695</v>
      </c>
      <c r="U728" t="s">
        <v>609</v>
      </c>
      <c r="V728" s="1" t="s">
        <v>774</v>
      </c>
      <c r="W728" s="1">
        <f>[97]Sheet1!A4</f>
        <v>8.4123711340206105E-9</v>
      </c>
      <c r="X728" s="1"/>
      <c r="AF728">
        <v>4.5</v>
      </c>
      <c r="AK728" t="s">
        <v>44</v>
      </c>
    </row>
    <row r="729" spans="1:37" hidden="1" x14ac:dyDescent="0.25">
      <c r="A729" t="s">
        <v>292</v>
      </c>
      <c r="B729" t="s">
        <v>728</v>
      </c>
      <c r="C729" t="s">
        <v>195</v>
      </c>
      <c r="D729" t="s">
        <v>196</v>
      </c>
      <c r="E729" t="s">
        <v>17</v>
      </c>
      <c r="F729" t="s">
        <v>262</v>
      </c>
      <c r="G729" t="s">
        <v>612</v>
      </c>
      <c r="H729" t="s">
        <v>761</v>
      </c>
      <c r="I729" t="s">
        <v>705</v>
      </c>
      <c r="J729">
        <f>10*30+10*7</f>
        <v>370</v>
      </c>
      <c r="K729" t="s">
        <v>657</v>
      </c>
      <c r="L729" t="s">
        <v>81</v>
      </c>
      <c r="M729" t="str">
        <f t="shared" si="100"/>
        <v>Stress</v>
      </c>
      <c r="N729" t="s">
        <v>349</v>
      </c>
      <c r="O729" t="s">
        <v>707</v>
      </c>
      <c r="R729" t="s">
        <v>408</v>
      </c>
      <c r="S729" t="s">
        <v>701</v>
      </c>
      <c r="T729" t="s">
        <v>695</v>
      </c>
      <c r="U729" t="s">
        <v>609</v>
      </c>
      <c r="V729" s="1" t="s">
        <v>774</v>
      </c>
      <c r="W729" s="1">
        <f>[97]Sheet1!A5</f>
        <v>6.1855670103092703E-9</v>
      </c>
      <c r="X729" s="1"/>
      <c r="AF729">
        <v>4.9000000000000004</v>
      </c>
      <c r="AK729" t="s">
        <v>44</v>
      </c>
    </row>
    <row r="730" spans="1:37" hidden="1" x14ac:dyDescent="0.25">
      <c r="A730" t="s">
        <v>727</v>
      </c>
      <c r="B730" t="s">
        <v>251</v>
      </c>
      <c r="C730" t="s">
        <v>252</v>
      </c>
      <c r="D730" t="s">
        <v>253</v>
      </c>
      <c r="E730" t="s">
        <v>17</v>
      </c>
      <c r="F730" t="s">
        <v>69</v>
      </c>
      <c r="G730" t="s">
        <v>616</v>
      </c>
      <c r="H730" t="s">
        <v>760</v>
      </c>
      <c r="I730" t="s">
        <v>705</v>
      </c>
      <c r="J730">
        <f t="shared" ref="J730:J743" si="103">+(12+4+8)*7</f>
        <v>168</v>
      </c>
      <c r="K730" t="s">
        <v>664</v>
      </c>
      <c r="L730" t="s">
        <v>36</v>
      </c>
      <c r="M730" t="str">
        <f t="shared" si="100"/>
        <v>Control</v>
      </c>
      <c r="N730" t="s">
        <v>349</v>
      </c>
      <c r="O730" t="s">
        <v>707</v>
      </c>
      <c r="R730" t="s">
        <v>408</v>
      </c>
      <c r="S730" t="s">
        <v>701</v>
      </c>
      <c r="T730" t="s">
        <v>695</v>
      </c>
      <c r="U730" t="s">
        <v>609</v>
      </c>
      <c r="V730" s="1" t="s">
        <v>774</v>
      </c>
      <c r="W730" s="1">
        <f>'[98]Muhsin&amp;Zwiazek_2002_Fig5'!C2</f>
        <v>5.5587628865979304E-9</v>
      </c>
      <c r="X730" s="1"/>
      <c r="AK730" t="s">
        <v>44</v>
      </c>
    </row>
    <row r="731" spans="1:37" hidden="1" x14ac:dyDescent="0.25">
      <c r="A731" t="s">
        <v>727</v>
      </c>
      <c r="B731" t="s">
        <v>251</v>
      </c>
      <c r="C731" t="s">
        <v>252</v>
      </c>
      <c r="D731" t="s">
        <v>253</v>
      </c>
      <c r="E731" t="s">
        <v>17</v>
      </c>
      <c r="F731" t="s">
        <v>69</v>
      </c>
      <c r="G731" t="s">
        <v>616</v>
      </c>
      <c r="H731" t="s">
        <v>760</v>
      </c>
      <c r="I731" t="s">
        <v>705</v>
      </c>
      <c r="J731">
        <f t="shared" si="103"/>
        <v>168</v>
      </c>
      <c r="K731" t="s">
        <v>664</v>
      </c>
      <c r="L731" t="s">
        <v>703</v>
      </c>
      <c r="M731" t="str">
        <f t="shared" si="100"/>
        <v>Stress</v>
      </c>
      <c r="N731" t="s">
        <v>349</v>
      </c>
      <c r="O731" t="s">
        <v>707</v>
      </c>
      <c r="R731" t="s">
        <v>408</v>
      </c>
      <c r="S731" t="s">
        <v>701</v>
      </c>
      <c r="T731" t="s">
        <v>695</v>
      </c>
      <c r="U731" t="s">
        <v>609</v>
      </c>
      <c r="V731" s="1" t="s">
        <v>774</v>
      </c>
      <c r="W731" s="1">
        <f>'[98]Muhsin&amp;Zwiazek_2002_Fig5'!C3</f>
        <v>4.5030927835051505E-9</v>
      </c>
      <c r="X731" s="1"/>
      <c r="AK731" t="s">
        <v>44</v>
      </c>
    </row>
    <row r="732" spans="1:37" hidden="1" x14ac:dyDescent="0.25">
      <c r="A732" t="s">
        <v>727</v>
      </c>
      <c r="B732" t="s">
        <v>251</v>
      </c>
      <c r="C732" t="s">
        <v>252</v>
      </c>
      <c r="D732" t="s">
        <v>253</v>
      </c>
      <c r="E732" t="s">
        <v>17</v>
      </c>
      <c r="F732" t="s">
        <v>69</v>
      </c>
      <c r="G732" t="s">
        <v>616</v>
      </c>
      <c r="H732" t="s">
        <v>760</v>
      </c>
      <c r="I732" t="s">
        <v>705</v>
      </c>
      <c r="J732">
        <f t="shared" si="103"/>
        <v>168</v>
      </c>
      <c r="K732" t="s">
        <v>664</v>
      </c>
      <c r="L732" t="s">
        <v>36</v>
      </c>
      <c r="M732" t="str">
        <f t="shared" si="100"/>
        <v>Control</v>
      </c>
      <c r="N732" t="s">
        <v>210</v>
      </c>
      <c r="O732" t="s">
        <v>707</v>
      </c>
      <c r="R732" t="s">
        <v>408</v>
      </c>
      <c r="S732" t="s">
        <v>701</v>
      </c>
      <c r="T732" t="s">
        <v>695</v>
      </c>
      <c r="U732" t="s">
        <v>609</v>
      </c>
      <c r="V732" s="1" t="s">
        <v>774</v>
      </c>
      <c r="W732" s="1">
        <f>'[98]Muhsin&amp;Zwiazek_2002_Fig5'!C4</f>
        <v>2.6721649484536002E-9</v>
      </c>
      <c r="X732" s="1"/>
      <c r="AK732" t="s">
        <v>44</v>
      </c>
    </row>
    <row r="733" spans="1:37" hidden="1" x14ac:dyDescent="0.25">
      <c r="A733" t="s">
        <v>727</v>
      </c>
      <c r="B733" t="s">
        <v>251</v>
      </c>
      <c r="C733" t="s">
        <v>252</v>
      </c>
      <c r="D733" t="s">
        <v>253</v>
      </c>
      <c r="E733" t="s">
        <v>17</v>
      </c>
      <c r="F733" t="s">
        <v>69</v>
      </c>
      <c r="G733" t="s">
        <v>616</v>
      </c>
      <c r="H733" t="s">
        <v>760</v>
      </c>
      <c r="I733" t="s">
        <v>705</v>
      </c>
      <c r="J733">
        <f t="shared" si="103"/>
        <v>168</v>
      </c>
      <c r="K733" t="s">
        <v>664</v>
      </c>
      <c r="L733" t="s">
        <v>703</v>
      </c>
      <c r="M733" t="str">
        <f t="shared" si="100"/>
        <v>Stress</v>
      </c>
      <c r="N733" t="s">
        <v>210</v>
      </c>
      <c r="O733" t="s">
        <v>707</v>
      </c>
      <c r="R733" t="s">
        <v>408</v>
      </c>
      <c r="S733" t="s">
        <v>701</v>
      </c>
      <c r="T733" t="s">
        <v>695</v>
      </c>
      <c r="U733" t="s">
        <v>609</v>
      </c>
      <c r="V733" s="1" t="s">
        <v>774</v>
      </c>
      <c r="W733" s="1">
        <f>'[98]Muhsin&amp;Zwiazek_2002_Fig5'!C5</f>
        <v>1.0391752577319501E-9</v>
      </c>
      <c r="X733" s="1"/>
      <c r="AK733" t="s">
        <v>44</v>
      </c>
    </row>
    <row r="734" spans="1:37" hidden="1" x14ac:dyDescent="0.25">
      <c r="A734" t="s">
        <v>727</v>
      </c>
      <c r="B734" t="s">
        <v>251</v>
      </c>
      <c r="C734" t="s">
        <v>252</v>
      </c>
      <c r="D734" t="s">
        <v>253</v>
      </c>
      <c r="E734" t="s">
        <v>17</v>
      </c>
      <c r="F734" t="s">
        <v>69</v>
      </c>
      <c r="G734" t="s">
        <v>616</v>
      </c>
      <c r="H734" t="s">
        <v>760</v>
      </c>
      <c r="I734" t="s">
        <v>705</v>
      </c>
      <c r="J734">
        <f t="shared" si="103"/>
        <v>168</v>
      </c>
      <c r="K734" t="s">
        <v>726</v>
      </c>
      <c r="L734" t="s">
        <v>349</v>
      </c>
      <c r="M734" t="str">
        <f t="shared" si="100"/>
        <v>Stress</v>
      </c>
      <c r="R734" t="s">
        <v>408</v>
      </c>
      <c r="S734" t="s">
        <v>701</v>
      </c>
      <c r="T734" t="s">
        <v>695</v>
      </c>
      <c r="U734" t="s">
        <v>609</v>
      </c>
      <c r="V734" s="1"/>
      <c r="W734" s="1"/>
      <c r="X734" s="1"/>
      <c r="AB734" s="1">
        <f>'[99]Muhsin&amp;Zwiazek_2002_Fig4'!C2</f>
        <v>6.2222222222222194E-7</v>
      </c>
      <c r="AK734" t="s">
        <v>44</v>
      </c>
    </row>
    <row r="735" spans="1:37" hidden="1" x14ac:dyDescent="0.25">
      <c r="A735" t="s">
        <v>727</v>
      </c>
      <c r="B735" t="s">
        <v>251</v>
      </c>
      <c r="C735" t="s">
        <v>252</v>
      </c>
      <c r="D735" t="s">
        <v>253</v>
      </c>
      <c r="E735" t="s">
        <v>17</v>
      </c>
      <c r="F735" t="s">
        <v>69</v>
      </c>
      <c r="G735" t="s">
        <v>616</v>
      </c>
      <c r="H735" t="s">
        <v>760</v>
      </c>
      <c r="I735" t="s">
        <v>705</v>
      </c>
      <c r="J735">
        <f t="shared" si="103"/>
        <v>168</v>
      </c>
      <c r="K735" t="s">
        <v>726</v>
      </c>
      <c r="L735" t="s">
        <v>349</v>
      </c>
      <c r="M735" t="str">
        <f t="shared" si="100"/>
        <v>Stress</v>
      </c>
      <c r="R735" t="s">
        <v>408</v>
      </c>
      <c r="S735" t="s">
        <v>701</v>
      </c>
      <c r="T735" t="s">
        <v>695</v>
      </c>
      <c r="U735" t="s">
        <v>609</v>
      </c>
      <c r="V735" s="1"/>
      <c r="W735" s="1"/>
      <c r="X735" s="1"/>
      <c r="AB735" s="1">
        <f>'[99]Muhsin&amp;Zwiazek_2002_Fig4'!C3</f>
        <v>7.4188034188034103E-7</v>
      </c>
      <c r="AK735" t="s">
        <v>44</v>
      </c>
    </row>
    <row r="736" spans="1:37" hidden="1" x14ac:dyDescent="0.25">
      <c r="A736" t="s">
        <v>727</v>
      </c>
      <c r="B736" t="s">
        <v>251</v>
      </c>
      <c r="C736" t="s">
        <v>252</v>
      </c>
      <c r="D736" t="s">
        <v>253</v>
      </c>
      <c r="E736" t="s">
        <v>17</v>
      </c>
      <c r="F736" t="s">
        <v>69</v>
      </c>
      <c r="G736" t="s">
        <v>616</v>
      </c>
      <c r="H736" t="s">
        <v>760</v>
      </c>
      <c r="I736" t="s">
        <v>705</v>
      </c>
      <c r="J736">
        <f t="shared" si="103"/>
        <v>168</v>
      </c>
      <c r="K736" t="s">
        <v>726</v>
      </c>
      <c r="L736" t="s">
        <v>349</v>
      </c>
      <c r="M736" t="str">
        <f t="shared" si="100"/>
        <v>Stress</v>
      </c>
      <c r="R736" t="s">
        <v>408</v>
      </c>
      <c r="S736" t="s">
        <v>701</v>
      </c>
      <c r="T736" t="s">
        <v>695</v>
      </c>
      <c r="U736" t="s">
        <v>609</v>
      </c>
      <c r="V736" s="1"/>
      <c r="W736" s="1"/>
      <c r="X736" s="1"/>
      <c r="AB736" s="1">
        <f>'[99]Muhsin&amp;Zwiazek_2002_Fig4'!C4</f>
        <v>9.3333333333333301E-7</v>
      </c>
      <c r="AK736" t="s">
        <v>44</v>
      </c>
    </row>
    <row r="737" spans="1:37" hidden="1" x14ac:dyDescent="0.25">
      <c r="A737" t="s">
        <v>727</v>
      </c>
      <c r="B737" t="s">
        <v>251</v>
      </c>
      <c r="C737" t="s">
        <v>252</v>
      </c>
      <c r="D737" t="s">
        <v>253</v>
      </c>
      <c r="E737" t="s">
        <v>17</v>
      </c>
      <c r="F737" t="s">
        <v>69</v>
      </c>
      <c r="G737" t="s">
        <v>616</v>
      </c>
      <c r="H737" t="s">
        <v>760</v>
      </c>
      <c r="I737" t="s">
        <v>705</v>
      </c>
      <c r="J737">
        <f t="shared" si="103"/>
        <v>168</v>
      </c>
      <c r="K737" t="s">
        <v>726</v>
      </c>
      <c r="L737" t="s">
        <v>349</v>
      </c>
      <c r="M737" t="str">
        <f t="shared" si="100"/>
        <v>Stress</v>
      </c>
      <c r="R737" t="s">
        <v>408</v>
      </c>
      <c r="S737" t="s">
        <v>701</v>
      </c>
      <c r="T737" t="s">
        <v>695</v>
      </c>
      <c r="U737" t="s">
        <v>609</v>
      </c>
      <c r="V737" s="1"/>
      <c r="W737" s="1"/>
      <c r="X737" s="1"/>
      <c r="AB737" s="1">
        <f>'[99]Muhsin&amp;Zwiazek_2002_Fig4'!C5</f>
        <v>1.32649572649572E-6</v>
      </c>
      <c r="AK737" t="s">
        <v>44</v>
      </c>
    </row>
    <row r="738" spans="1:37" hidden="1" x14ac:dyDescent="0.25">
      <c r="A738" t="s">
        <v>727</v>
      </c>
      <c r="B738" t="s">
        <v>251</v>
      </c>
      <c r="C738" t="s">
        <v>252</v>
      </c>
      <c r="D738" t="s">
        <v>253</v>
      </c>
      <c r="E738" t="s">
        <v>17</v>
      </c>
      <c r="F738" t="s">
        <v>69</v>
      </c>
      <c r="G738" t="s">
        <v>616</v>
      </c>
      <c r="H738" t="s">
        <v>760</v>
      </c>
      <c r="I738" t="s">
        <v>705</v>
      </c>
      <c r="J738">
        <f t="shared" si="103"/>
        <v>168</v>
      </c>
      <c r="K738" t="s">
        <v>726</v>
      </c>
      <c r="L738" t="s">
        <v>349</v>
      </c>
      <c r="M738" t="str">
        <f t="shared" si="100"/>
        <v>Stress</v>
      </c>
      <c r="R738" t="s">
        <v>408</v>
      </c>
      <c r="S738" t="s">
        <v>701</v>
      </c>
      <c r="T738" t="s">
        <v>695</v>
      </c>
      <c r="U738" t="s">
        <v>609</v>
      </c>
      <c r="V738" s="1"/>
      <c r="W738" s="1"/>
      <c r="X738" s="1"/>
      <c r="AB738" s="1">
        <f>'[99]Muhsin&amp;Zwiazek_2002_Fig4'!C6</f>
        <v>1.43247863247863E-6</v>
      </c>
      <c r="AK738" t="s">
        <v>44</v>
      </c>
    </row>
    <row r="739" spans="1:37" hidden="1" x14ac:dyDescent="0.25">
      <c r="A739" t="s">
        <v>727</v>
      </c>
      <c r="B739" t="s">
        <v>251</v>
      </c>
      <c r="C739" t="s">
        <v>252</v>
      </c>
      <c r="D739" t="s">
        <v>253</v>
      </c>
      <c r="E739" t="s">
        <v>17</v>
      </c>
      <c r="F739" t="s">
        <v>69</v>
      </c>
      <c r="G739" t="s">
        <v>616</v>
      </c>
      <c r="H739" t="s">
        <v>760</v>
      </c>
      <c r="I739" t="s">
        <v>705</v>
      </c>
      <c r="J739">
        <f t="shared" si="103"/>
        <v>168</v>
      </c>
      <c r="K739" t="s">
        <v>726</v>
      </c>
      <c r="L739" t="s">
        <v>210</v>
      </c>
      <c r="M739" t="str">
        <f t="shared" si="100"/>
        <v>Stress</v>
      </c>
      <c r="R739" t="s">
        <v>408</v>
      </c>
      <c r="S739" t="s">
        <v>701</v>
      </c>
      <c r="T739" t="s">
        <v>695</v>
      </c>
      <c r="U739" t="s">
        <v>609</v>
      </c>
      <c r="V739" s="1"/>
      <c r="W739" s="1"/>
      <c r="X739" s="1"/>
      <c r="AB739" s="1">
        <f>'[99]Muhsin&amp;Zwiazek_2002_Fig4'!C7</f>
        <v>2.0170940170940099E-7</v>
      </c>
      <c r="AK739" t="s">
        <v>44</v>
      </c>
    </row>
    <row r="740" spans="1:37" hidden="1" x14ac:dyDescent="0.25">
      <c r="A740" t="s">
        <v>727</v>
      </c>
      <c r="B740" t="s">
        <v>251</v>
      </c>
      <c r="C740" t="s">
        <v>252</v>
      </c>
      <c r="D740" t="s">
        <v>253</v>
      </c>
      <c r="E740" t="s">
        <v>17</v>
      </c>
      <c r="F740" t="s">
        <v>69</v>
      </c>
      <c r="G740" t="s">
        <v>616</v>
      </c>
      <c r="H740" t="s">
        <v>760</v>
      </c>
      <c r="I740" t="s">
        <v>705</v>
      </c>
      <c r="J740">
        <f t="shared" si="103"/>
        <v>168</v>
      </c>
      <c r="K740" t="s">
        <v>726</v>
      </c>
      <c r="L740" t="s">
        <v>210</v>
      </c>
      <c r="M740" t="str">
        <f t="shared" si="100"/>
        <v>Stress</v>
      </c>
      <c r="R740" t="s">
        <v>408</v>
      </c>
      <c r="S740" t="s">
        <v>701</v>
      </c>
      <c r="T740" t="s">
        <v>695</v>
      </c>
      <c r="U740" t="s">
        <v>609</v>
      </c>
      <c r="V740" s="1"/>
      <c r="W740" s="1"/>
      <c r="X740" s="1"/>
      <c r="AB740" s="1">
        <f>'[99]Muhsin&amp;Zwiazek_2002_Fig4'!C8</f>
        <v>2.32478632478632E-7</v>
      </c>
      <c r="AK740" t="s">
        <v>44</v>
      </c>
    </row>
    <row r="741" spans="1:37" hidden="1" x14ac:dyDescent="0.25">
      <c r="A741" t="s">
        <v>727</v>
      </c>
      <c r="B741" t="s">
        <v>251</v>
      </c>
      <c r="C741" t="s">
        <v>252</v>
      </c>
      <c r="D741" t="s">
        <v>253</v>
      </c>
      <c r="E741" t="s">
        <v>17</v>
      </c>
      <c r="F741" t="s">
        <v>69</v>
      </c>
      <c r="G741" t="s">
        <v>616</v>
      </c>
      <c r="H741" t="s">
        <v>760</v>
      </c>
      <c r="I741" t="s">
        <v>705</v>
      </c>
      <c r="J741">
        <f t="shared" si="103"/>
        <v>168</v>
      </c>
      <c r="K741" t="s">
        <v>726</v>
      </c>
      <c r="L741" t="s">
        <v>210</v>
      </c>
      <c r="M741" t="str">
        <f t="shared" si="100"/>
        <v>Stress</v>
      </c>
      <c r="R741" t="s">
        <v>408</v>
      </c>
      <c r="S741" t="s">
        <v>701</v>
      </c>
      <c r="T741" t="s">
        <v>695</v>
      </c>
      <c r="U741" t="s">
        <v>609</v>
      </c>
      <c r="V741" s="1"/>
      <c r="W741" s="1"/>
      <c r="X741" s="1"/>
      <c r="AB741" s="1">
        <f>'[99]Muhsin&amp;Zwiazek_2002_Fig4'!C9</f>
        <v>3.4871794871794797E-7</v>
      </c>
      <c r="AK741" t="s">
        <v>44</v>
      </c>
    </row>
    <row r="742" spans="1:37" hidden="1" x14ac:dyDescent="0.25">
      <c r="A742" t="s">
        <v>727</v>
      </c>
      <c r="B742" t="s">
        <v>251</v>
      </c>
      <c r="C742" t="s">
        <v>252</v>
      </c>
      <c r="D742" t="s">
        <v>253</v>
      </c>
      <c r="E742" t="s">
        <v>17</v>
      </c>
      <c r="F742" t="s">
        <v>69</v>
      </c>
      <c r="G742" t="s">
        <v>616</v>
      </c>
      <c r="H742" t="s">
        <v>760</v>
      </c>
      <c r="I742" t="s">
        <v>705</v>
      </c>
      <c r="J742">
        <f t="shared" si="103"/>
        <v>168</v>
      </c>
      <c r="K742" t="s">
        <v>726</v>
      </c>
      <c r="L742" t="s">
        <v>210</v>
      </c>
      <c r="M742" t="str">
        <f t="shared" si="100"/>
        <v>Stress</v>
      </c>
      <c r="R742" t="s">
        <v>408</v>
      </c>
      <c r="S742" t="s">
        <v>701</v>
      </c>
      <c r="T742" t="s">
        <v>695</v>
      </c>
      <c r="U742" t="s">
        <v>609</v>
      </c>
      <c r="V742" s="1"/>
      <c r="W742" s="1"/>
      <c r="X742" s="1"/>
      <c r="AB742" s="1">
        <f>'[99]Muhsin&amp;Zwiazek_2002_Fig4'!C10</f>
        <v>5.1282051282051199E-7</v>
      </c>
      <c r="AK742" t="s">
        <v>44</v>
      </c>
    </row>
    <row r="743" spans="1:37" hidden="1" x14ac:dyDescent="0.25">
      <c r="A743" t="s">
        <v>727</v>
      </c>
      <c r="B743" t="s">
        <v>251</v>
      </c>
      <c r="C743" t="s">
        <v>252</v>
      </c>
      <c r="D743" t="s">
        <v>253</v>
      </c>
      <c r="E743" t="s">
        <v>17</v>
      </c>
      <c r="F743" t="s">
        <v>69</v>
      </c>
      <c r="G743" t="s">
        <v>616</v>
      </c>
      <c r="H743" t="s">
        <v>760</v>
      </c>
      <c r="I743" t="s">
        <v>705</v>
      </c>
      <c r="J743">
        <f t="shared" si="103"/>
        <v>168</v>
      </c>
      <c r="K743" t="s">
        <v>726</v>
      </c>
      <c r="L743" t="s">
        <v>210</v>
      </c>
      <c r="M743" t="str">
        <f t="shared" si="100"/>
        <v>Stress</v>
      </c>
      <c r="R743" t="s">
        <v>408</v>
      </c>
      <c r="S743" t="s">
        <v>701</v>
      </c>
      <c r="T743" t="s">
        <v>695</v>
      </c>
      <c r="U743" t="s">
        <v>609</v>
      </c>
      <c r="V743" s="1"/>
      <c r="W743" s="1"/>
      <c r="X743" s="1"/>
      <c r="AB743" s="1">
        <f>'[99]Muhsin&amp;Zwiazek_2002_Fig4'!C11</f>
        <v>5.4017094017094E-7</v>
      </c>
      <c r="AK743" t="s">
        <v>44</v>
      </c>
    </row>
    <row r="744" spans="1:37" hidden="1" x14ac:dyDescent="0.25">
      <c r="A744" t="s">
        <v>729</v>
      </c>
      <c r="B744" t="s">
        <v>125</v>
      </c>
      <c r="C744" t="s">
        <v>67</v>
      </c>
      <c r="D744" t="s">
        <v>68</v>
      </c>
      <c r="E744" t="s">
        <v>17</v>
      </c>
      <c r="F744" t="s">
        <v>126</v>
      </c>
      <c r="G744" t="s">
        <v>616</v>
      </c>
      <c r="H744" t="s">
        <v>760</v>
      </c>
      <c r="I744" t="s">
        <v>705</v>
      </c>
      <c r="J744">
        <f>+(6+3)*7+10</f>
        <v>73</v>
      </c>
      <c r="K744" t="s">
        <v>225</v>
      </c>
      <c r="L744" t="s">
        <v>36</v>
      </c>
      <c r="M744" t="str">
        <f t="shared" si="100"/>
        <v>Control</v>
      </c>
      <c r="R744" t="s">
        <v>408</v>
      </c>
      <c r="S744" t="s">
        <v>701</v>
      </c>
      <c r="T744" t="s">
        <v>695</v>
      </c>
      <c r="U744" t="s">
        <v>609</v>
      </c>
      <c r="V744" s="1"/>
      <c r="W744" s="1"/>
      <c r="X744" s="1"/>
      <c r="AA744" s="1">
        <f>[100]Sheet1!A2</f>
        <v>4.30534351145038E-10</v>
      </c>
      <c r="AK744" t="s">
        <v>44</v>
      </c>
    </row>
    <row r="745" spans="1:37" hidden="1" x14ac:dyDescent="0.25">
      <c r="A745" t="s">
        <v>729</v>
      </c>
      <c r="B745" t="s">
        <v>125</v>
      </c>
      <c r="C745" t="s">
        <v>67</v>
      </c>
      <c r="D745" t="s">
        <v>68</v>
      </c>
      <c r="E745" t="s">
        <v>17</v>
      </c>
      <c r="F745" t="s">
        <v>126</v>
      </c>
      <c r="G745" t="s">
        <v>616</v>
      </c>
      <c r="H745" t="s">
        <v>760</v>
      </c>
      <c r="I745" t="s">
        <v>705</v>
      </c>
      <c r="J745">
        <f>+(6+3)*7+10</f>
        <v>73</v>
      </c>
      <c r="K745" t="s">
        <v>225</v>
      </c>
      <c r="L745" t="s">
        <v>225</v>
      </c>
      <c r="M745" t="str">
        <f t="shared" si="100"/>
        <v>Stress</v>
      </c>
      <c r="R745" t="s">
        <v>408</v>
      </c>
      <c r="S745" t="s">
        <v>701</v>
      </c>
      <c r="T745" t="s">
        <v>695</v>
      </c>
      <c r="U745" t="s">
        <v>609</v>
      </c>
      <c r="V745" s="1"/>
      <c r="W745" s="1"/>
      <c r="X745" s="1"/>
      <c r="AA745" s="1">
        <f>[100]Sheet1!A3</f>
        <v>1.2480916030534301E-10</v>
      </c>
      <c r="AK745" t="s">
        <v>44</v>
      </c>
    </row>
    <row r="746" spans="1:37" hidden="1" x14ac:dyDescent="0.25">
      <c r="A746" t="s">
        <v>293</v>
      </c>
      <c r="B746" t="s">
        <v>294</v>
      </c>
      <c r="C746" t="s">
        <v>139</v>
      </c>
      <c r="D746" t="s">
        <v>140</v>
      </c>
      <c r="E746" t="s">
        <v>17</v>
      </c>
      <c r="F746" t="s">
        <v>69</v>
      </c>
      <c r="G746" t="s">
        <v>616</v>
      </c>
      <c r="H746" t="s">
        <v>760</v>
      </c>
      <c r="I746" t="s">
        <v>705</v>
      </c>
      <c r="J746">
        <f>5*30</f>
        <v>150</v>
      </c>
      <c r="K746" t="s">
        <v>756</v>
      </c>
      <c r="L746" t="s">
        <v>756</v>
      </c>
      <c r="M746" t="s">
        <v>756</v>
      </c>
      <c r="R746" t="s">
        <v>408</v>
      </c>
      <c r="S746" t="s">
        <v>701</v>
      </c>
      <c r="T746" t="s">
        <v>695</v>
      </c>
      <c r="U746" t="s">
        <v>609</v>
      </c>
      <c r="V746" s="1" t="s">
        <v>774</v>
      </c>
      <c r="W746" s="1">
        <f>0.29*18*0.000000001</f>
        <v>5.2199999999999998E-9</v>
      </c>
      <c r="X746" s="1"/>
      <c r="AB746" s="1">
        <f>1.02*18*0.000000001</f>
        <v>1.836E-8</v>
      </c>
      <c r="AD746" s="3">
        <f>+W746/AB746*10000</f>
        <v>2843.1372549019607</v>
      </c>
      <c r="AK746" t="s">
        <v>44</v>
      </c>
    </row>
    <row r="747" spans="1:37" hidden="1" x14ac:dyDescent="0.25">
      <c r="A747" t="s">
        <v>293</v>
      </c>
      <c r="B747" t="s">
        <v>165</v>
      </c>
      <c r="C747" t="s">
        <v>166</v>
      </c>
      <c r="D747" t="s">
        <v>140</v>
      </c>
      <c r="E747" t="s">
        <v>17</v>
      </c>
      <c r="F747" t="s">
        <v>69</v>
      </c>
      <c r="G747" t="s">
        <v>616</v>
      </c>
      <c r="H747" t="s">
        <v>760</v>
      </c>
      <c r="I747" t="s">
        <v>705</v>
      </c>
      <c r="J747">
        <f>1*365</f>
        <v>365</v>
      </c>
      <c r="K747" t="s">
        <v>756</v>
      </c>
      <c r="L747" t="s">
        <v>756</v>
      </c>
      <c r="M747" t="s">
        <v>756</v>
      </c>
      <c r="R747" t="s">
        <v>408</v>
      </c>
      <c r="S747" t="s">
        <v>701</v>
      </c>
      <c r="T747" t="s">
        <v>695</v>
      </c>
      <c r="U747" t="s">
        <v>609</v>
      </c>
      <c r="V747" s="1"/>
      <c r="W747" s="1"/>
      <c r="X747" s="1"/>
      <c r="AB747" s="1">
        <f>0.58*18*0.000000001</f>
        <v>1.044E-8</v>
      </c>
      <c r="AK747" t="s">
        <v>44</v>
      </c>
    </row>
    <row r="748" spans="1:37" hidden="1" x14ac:dyDescent="0.25">
      <c r="A748" t="s">
        <v>128</v>
      </c>
      <c r="B748" t="s">
        <v>125</v>
      </c>
      <c r="C748" t="s">
        <v>67</v>
      </c>
      <c r="D748" t="s">
        <v>68</v>
      </c>
      <c r="E748" t="s">
        <v>17</v>
      </c>
      <c r="F748" t="s">
        <v>126</v>
      </c>
      <c r="G748" t="s">
        <v>616</v>
      </c>
      <c r="H748" t="s">
        <v>760</v>
      </c>
      <c r="I748" t="s">
        <v>705</v>
      </c>
      <c r="J748">
        <f t="shared" ref="J748:J753" si="104">+(2+1)*30</f>
        <v>90</v>
      </c>
      <c r="K748" t="s">
        <v>91</v>
      </c>
      <c r="L748" t="s">
        <v>36</v>
      </c>
      <c r="M748" t="str">
        <f t="shared" ref="M748:M753" si="105">+IF(L748 = "Control", "Control", "Stress")</f>
        <v>Control</v>
      </c>
      <c r="R748" t="s">
        <v>408</v>
      </c>
      <c r="S748" t="s">
        <v>701</v>
      </c>
      <c r="T748" t="s">
        <v>695</v>
      </c>
      <c r="U748" t="s">
        <v>609</v>
      </c>
      <c r="V748" s="1"/>
      <c r="W748" s="1"/>
      <c r="X748" s="1"/>
      <c r="Y748" s="1"/>
      <c r="Z748" s="1"/>
      <c r="AA748" s="1"/>
      <c r="AB748" s="1">
        <v>9.2200000000000005E-8</v>
      </c>
      <c r="AF748" s="2"/>
      <c r="AG748" s="2"/>
      <c r="AK748" t="s">
        <v>199</v>
      </c>
    </row>
    <row r="749" spans="1:37" hidden="1" x14ac:dyDescent="0.25">
      <c r="A749" t="s">
        <v>128</v>
      </c>
      <c r="B749" t="s">
        <v>125</v>
      </c>
      <c r="C749" t="s">
        <v>67</v>
      </c>
      <c r="D749" t="s">
        <v>68</v>
      </c>
      <c r="E749" t="s">
        <v>17</v>
      </c>
      <c r="F749" t="s">
        <v>126</v>
      </c>
      <c r="G749" t="s">
        <v>616</v>
      </c>
      <c r="H749" t="s">
        <v>760</v>
      </c>
      <c r="I749" t="s">
        <v>705</v>
      </c>
      <c r="J749">
        <f t="shared" si="104"/>
        <v>90</v>
      </c>
      <c r="K749" t="s">
        <v>91</v>
      </c>
      <c r="L749" t="s">
        <v>496</v>
      </c>
      <c r="M749" t="str">
        <f t="shared" si="105"/>
        <v>Stress</v>
      </c>
      <c r="R749" t="s">
        <v>408</v>
      </c>
      <c r="S749" t="s">
        <v>701</v>
      </c>
      <c r="T749" t="s">
        <v>695</v>
      </c>
      <c r="U749" t="s">
        <v>609</v>
      </c>
      <c r="V749" s="1"/>
      <c r="W749" s="1"/>
      <c r="X749" s="1"/>
      <c r="Y749" s="1"/>
      <c r="Z749" s="1"/>
      <c r="AA749" s="1"/>
      <c r="AB749" s="1">
        <v>6.7799999999999998E-8</v>
      </c>
      <c r="AF749" s="2"/>
      <c r="AG749" s="2"/>
      <c r="AK749" t="s">
        <v>199</v>
      </c>
    </row>
    <row r="750" spans="1:37" hidden="1" x14ac:dyDescent="0.25">
      <c r="A750" t="s">
        <v>128</v>
      </c>
      <c r="B750" t="s">
        <v>125</v>
      </c>
      <c r="C750" t="s">
        <v>67</v>
      </c>
      <c r="D750" t="s">
        <v>68</v>
      </c>
      <c r="E750" t="s">
        <v>17</v>
      </c>
      <c r="F750" t="s">
        <v>126</v>
      </c>
      <c r="G750" t="s">
        <v>616</v>
      </c>
      <c r="H750" t="s">
        <v>760</v>
      </c>
      <c r="I750" t="s">
        <v>705</v>
      </c>
      <c r="J750">
        <f t="shared" si="104"/>
        <v>90</v>
      </c>
      <c r="K750" t="s">
        <v>91</v>
      </c>
      <c r="L750" t="s">
        <v>496</v>
      </c>
      <c r="M750" t="str">
        <f t="shared" si="105"/>
        <v>Stress</v>
      </c>
      <c r="R750" t="s">
        <v>408</v>
      </c>
      <c r="S750" t="s">
        <v>701</v>
      </c>
      <c r="T750" t="s">
        <v>695</v>
      </c>
      <c r="U750" t="s">
        <v>609</v>
      </c>
      <c r="V750" s="1"/>
      <c r="W750" s="1"/>
      <c r="X750" s="1"/>
      <c r="Y750" s="1"/>
      <c r="Z750" s="1"/>
      <c r="AA750" s="1"/>
      <c r="AB750" s="1">
        <v>4.7199999999999999E-8</v>
      </c>
      <c r="AF750" s="2"/>
      <c r="AG750" s="2"/>
      <c r="AK750" t="s">
        <v>199</v>
      </c>
    </row>
    <row r="751" spans="1:37" hidden="1" x14ac:dyDescent="0.25">
      <c r="A751" t="s">
        <v>128</v>
      </c>
      <c r="B751" t="s">
        <v>125</v>
      </c>
      <c r="C751" t="s">
        <v>67</v>
      </c>
      <c r="D751" t="s">
        <v>68</v>
      </c>
      <c r="E751" t="s">
        <v>17</v>
      </c>
      <c r="F751" t="s">
        <v>126</v>
      </c>
      <c r="G751" t="s">
        <v>616</v>
      </c>
      <c r="H751" t="s">
        <v>760</v>
      </c>
      <c r="I751" t="s">
        <v>705</v>
      </c>
      <c r="J751">
        <f t="shared" si="104"/>
        <v>90</v>
      </c>
      <c r="K751" t="s">
        <v>91</v>
      </c>
      <c r="L751" t="s">
        <v>496</v>
      </c>
      <c r="M751" t="str">
        <f t="shared" si="105"/>
        <v>Stress</v>
      </c>
      <c r="R751" t="s">
        <v>408</v>
      </c>
      <c r="S751" t="s">
        <v>701</v>
      </c>
      <c r="T751" t="s">
        <v>695</v>
      </c>
      <c r="U751" t="s">
        <v>609</v>
      </c>
      <c r="V751" s="1"/>
      <c r="W751" s="1"/>
      <c r="X751" s="1"/>
      <c r="Y751" s="1"/>
      <c r="Z751" s="1"/>
      <c r="AA751" s="1"/>
      <c r="AB751" s="1">
        <v>3.1200000000000001E-8</v>
      </c>
      <c r="AF751" s="2"/>
      <c r="AG751" s="2"/>
      <c r="AK751" t="s">
        <v>199</v>
      </c>
    </row>
    <row r="752" spans="1:37" hidden="1" x14ac:dyDescent="0.25">
      <c r="A752" t="s">
        <v>129</v>
      </c>
      <c r="B752" t="s">
        <v>125</v>
      </c>
      <c r="C752" t="s">
        <v>67</v>
      </c>
      <c r="D752" t="s">
        <v>68</v>
      </c>
      <c r="E752" t="s">
        <v>17</v>
      </c>
      <c r="F752" t="s">
        <v>126</v>
      </c>
      <c r="G752" t="s">
        <v>616</v>
      </c>
      <c r="H752" t="s">
        <v>760</v>
      </c>
      <c r="I752" t="s">
        <v>705</v>
      </c>
      <c r="J752">
        <f t="shared" si="104"/>
        <v>90</v>
      </c>
      <c r="K752" t="s">
        <v>350</v>
      </c>
      <c r="L752" t="s">
        <v>36</v>
      </c>
      <c r="M752" t="str">
        <f t="shared" si="105"/>
        <v>Control</v>
      </c>
      <c r="R752" t="s">
        <v>408</v>
      </c>
      <c r="S752" t="s">
        <v>701</v>
      </c>
      <c r="T752" t="s">
        <v>695</v>
      </c>
      <c r="U752" t="s">
        <v>609</v>
      </c>
      <c r="V752" s="1"/>
      <c r="W752" s="1"/>
      <c r="X752" s="1"/>
      <c r="Y752" s="1"/>
      <c r="Z752" s="1"/>
      <c r="AA752" s="1"/>
      <c r="AB752" s="1">
        <v>5.8700000000000003E-8</v>
      </c>
      <c r="AF752" s="2"/>
      <c r="AG752" s="2"/>
      <c r="AK752" t="s">
        <v>199</v>
      </c>
    </row>
    <row r="753" spans="1:37" hidden="1" x14ac:dyDescent="0.25">
      <c r="A753" t="s">
        <v>129</v>
      </c>
      <c r="B753" t="s">
        <v>125</v>
      </c>
      <c r="C753" t="s">
        <v>67</v>
      </c>
      <c r="D753" t="s">
        <v>68</v>
      </c>
      <c r="E753" t="s">
        <v>17</v>
      </c>
      <c r="F753" t="s">
        <v>126</v>
      </c>
      <c r="G753" t="s">
        <v>616</v>
      </c>
      <c r="H753" t="s">
        <v>760</v>
      </c>
      <c r="I753" t="s">
        <v>705</v>
      </c>
      <c r="J753">
        <f t="shared" si="104"/>
        <v>90</v>
      </c>
      <c r="K753" t="s">
        <v>350</v>
      </c>
      <c r="L753" t="s">
        <v>76</v>
      </c>
      <c r="M753" t="str">
        <f t="shared" si="105"/>
        <v>Stress</v>
      </c>
      <c r="R753" t="s">
        <v>408</v>
      </c>
      <c r="S753" t="s">
        <v>701</v>
      </c>
      <c r="T753" t="s">
        <v>695</v>
      </c>
      <c r="U753" t="s">
        <v>609</v>
      </c>
      <c r="V753" s="1"/>
      <c r="W753" s="1"/>
      <c r="X753" s="1"/>
      <c r="Y753" s="1"/>
      <c r="Z753" s="1"/>
      <c r="AA753" s="1"/>
      <c r="AB753" s="1">
        <v>5.02E-8</v>
      </c>
      <c r="AF753" s="2"/>
      <c r="AG753" s="2"/>
      <c r="AK753" t="s">
        <v>199</v>
      </c>
    </row>
    <row r="754" spans="1:37" hidden="1" x14ac:dyDescent="0.25">
      <c r="A754" t="s">
        <v>130</v>
      </c>
      <c r="B754" t="s">
        <v>53</v>
      </c>
      <c r="C754" t="s">
        <v>54</v>
      </c>
      <c r="D754" t="s">
        <v>16</v>
      </c>
      <c r="E754" t="s">
        <v>17</v>
      </c>
      <c r="F754" t="s">
        <v>18</v>
      </c>
      <c r="G754" t="s">
        <v>18</v>
      </c>
      <c r="H754" t="s">
        <v>18</v>
      </c>
      <c r="I754" t="s">
        <v>704</v>
      </c>
      <c r="J754">
        <f t="shared" ref="J754:J761" si="106">+AVERAGE(31,40)</f>
        <v>35.5</v>
      </c>
      <c r="K754" t="s">
        <v>747</v>
      </c>
      <c r="L754" t="s">
        <v>462</v>
      </c>
      <c r="M754" t="s">
        <v>707</v>
      </c>
      <c r="N754" t="s">
        <v>422</v>
      </c>
      <c r="O754" t="s">
        <v>707</v>
      </c>
      <c r="R754" t="s">
        <v>408</v>
      </c>
      <c r="S754" t="s">
        <v>701</v>
      </c>
      <c r="T754" t="s">
        <v>695</v>
      </c>
      <c r="U754" t="s">
        <v>609</v>
      </c>
      <c r="V754" s="1" t="s">
        <v>733</v>
      </c>
      <c r="W754" s="1">
        <f t="shared" ref="W754:W761" si="107">+AB754*AD754/10000</f>
        <v>2.079E-9</v>
      </c>
      <c r="X754" s="1"/>
      <c r="Y754" s="1"/>
      <c r="Z754" s="1"/>
      <c r="AA754" s="1"/>
      <c r="AB754" s="1">
        <v>6.2999999999999995E-8</v>
      </c>
      <c r="AD754">
        <v>330</v>
      </c>
      <c r="AF754" s="2"/>
      <c r="AG754" s="2"/>
      <c r="AK754" t="s">
        <v>199</v>
      </c>
    </row>
    <row r="755" spans="1:37" hidden="1" x14ac:dyDescent="0.25">
      <c r="A755" t="s">
        <v>130</v>
      </c>
      <c r="B755" t="s">
        <v>53</v>
      </c>
      <c r="C755" t="s">
        <v>54</v>
      </c>
      <c r="D755" t="s">
        <v>16</v>
      </c>
      <c r="E755" t="s">
        <v>17</v>
      </c>
      <c r="F755" t="s">
        <v>18</v>
      </c>
      <c r="G755" t="s">
        <v>18</v>
      </c>
      <c r="H755" t="s">
        <v>18</v>
      </c>
      <c r="I755" t="s">
        <v>704</v>
      </c>
      <c r="J755">
        <f t="shared" si="106"/>
        <v>35.5</v>
      </c>
      <c r="K755" t="s">
        <v>747</v>
      </c>
      <c r="L755" t="s">
        <v>462</v>
      </c>
      <c r="M755" t="s">
        <v>707</v>
      </c>
      <c r="N755" t="s">
        <v>426</v>
      </c>
      <c r="O755" t="s">
        <v>707</v>
      </c>
      <c r="R755" t="s">
        <v>408</v>
      </c>
      <c r="S755" t="s">
        <v>701</v>
      </c>
      <c r="T755" t="s">
        <v>695</v>
      </c>
      <c r="U755" t="s">
        <v>609</v>
      </c>
      <c r="V755" s="1" t="s">
        <v>733</v>
      </c>
      <c r="W755" s="1">
        <f t="shared" si="107"/>
        <v>1.2880000000000001E-9</v>
      </c>
      <c r="X755" s="1"/>
      <c r="Y755" s="1"/>
      <c r="Z755" s="1"/>
      <c r="AA755" s="1"/>
      <c r="AB755" s="1">
        <v>5.5999999999999999E-8</v>
      </c>
      <c r="AD755">
        <v>230</v>
      </c>
      <c r="AF755" s="2"/>
      <c r="AG755" s="2"/>
      <c r="AK755" t="s">
        <v>199</v>
      </c>
    </row>
    <row r="756" spans="1:37" hidden="1" x14ac:dyDescent="0.25">
      <c r="A756" t="s">
        <v>130</v>
      </c>
      <c r="B756" t="s">
        <v>53</v>
      </c>
      <c r="C756" t="s">
        <v>54</v>
      </c>
      <c r="D756" t="s">
        <v>16</v>
      </c>
      <c r="E756" t="s">
        <v>17</v>
      </c>
      <c r="F756" t="s">
        <v>18</v>
      </c>
      <c r="G756" t="s">
        <v>18</v>
      </c>
      <c r="H756" t="s">
        <v>18</v>
      </c>
      <c r="I756" t="s">
        <v>704</v>
      </c>
      <c r="J756">
        <f t="shared" si="106"/>
        <v>35.5</v>
      </c>
      <c r="K756" t="s">
        <v>747</v>
      </c>
      <c r="L756" t="s">
        <v>163</v>
      </c>
      <c r="M756" t="s">
        <v>707</v>
      </c>
      <c r="N756" t="s">
        <v>422</v>
      </c>
      <c r="O756" t="s">
        <v>707</v>
      </c>
      <c r="R756" t="s">
        <v>408</v>
      </c>
      <c r="S756" t="s">
        <v>701</v>
      </c>
      <c r="T756" t="s">
        <v>695</v>
      </c>
      <c r="U756" t="s">
        <v>609</v>
      </c>
      <c r="V756" s="1" t="s">
        <v>733</v>
      </c>
      <c r="W756" s="1">
        <f t="shared" si="107"/>
        <v>1.4060000000000001E-9</v>
      </c>
      <c r="X756" s="1"/>
      <c r="Y756" s="1"/>
      <c r="Z756" s="1"/>
      <c r="AA756" s="1"/>
      <c r="AB756" s="1">
        <v>7.4000000000000001E-8</v>
      </c>
      <c r="AD756">
        <v>190</v>
      </c>
      <c r="AF756" s="2"/>
      <c r="AG756" s="2"/>
      <c r="AK756" t="s">
        <v>199</v>
      </c>
    </row>
    <row r="757" spans="1:37" hidden="1" x14ac:dyDescent="0.25">
      <c r="A757" t="s">
        <v>130</v>
      </c>
      <c r="B757" t="s">
        <v>53</v>
      </c>
      <c r="C757" t="s">
        <v>54</v>
      </c>
      <c r="D757" t="s">
        <v>16</v>
      </c>
      <c r="E757" t="s">
        <v>17</v>
      </c>
      <c r="F757" t="s">
        <v>18</v>
      </c>
      <c r="G757" t="s">
        <v>18</v>
      </c>
      <c r="H757" t="s">
        <v>18</v>
      </c>
      <c r="I757" t="s">
        <v>704</v>
      </c>
      <c r="J757">
        <f t="shared" si="106"/>
        <v>35.5</v>
      </c>
      <c r="K757" t="s">
        <v>747</v>
      </c>
      <c r="L757" t="s">
        <v>163</v>
      </c>
      <c r="M757" t="s">
        <v>707</v>
      </c>
      <c r="N757" t="s">
        <v>426</v>
      </c>
      <c r="O757" t="s">
        <v>707</v>
      </c>
      <c r="R757" t="s">
        <v>408</v>
      </c>
      <c r="S757" t="s">
        <v>701</v>
      </c>
      <c r="T757" t="s">
        <v>695</v>
      </c>
      <c r="U757" t="s">
        <v>609</v>
      </c>
      <c r="V757" s="1" t="s">
        <v>733</v>
      </c>
      <c r="W757" s="1">
        <f t="shared" si="107"/>
        <v>1.1199999999999999E-9</v>
      </c>
      <c r="X757" s="1"/>
      <c r="Y757" s="1"/>
      <c r="Z757" s="1"/>
      <c r="AA757" s="1"/>
      <c r="AB757" s="1">
        <v>4.0000000000000001E-8</v>
      </c>
      <c r="AD757">
        <v>280</v>
      </c>
      <c r="AF757" s="2"/>
      <c r="AG757" s="2"/>
      <c r="AK757" t="s">
        <v>199</v>
      </c>
    </row>
    <row r="758" spans="1:37" hidden="1" x14ac:dyDescent="0.25">
      <c r="A758" t="s">
        <v>130</v>
      </c>
      <c r="B758" t="s">
        <v>53</v>
      </c>
      <c r="C758" t="s">
        <v>54</v>
      </c>
      <c r="D758" t="s">
        <v>16</v>
      </c>
      <c r="E758" t="s">
        <v>17</v>
      </c>
      <c r="F758" t="s">
        <v>18</v>
      </c>
      <c r="G758" t="s">
        <v>18</v>
      </c>
      <c r="H758" t="s">
        <v>18</v>
      </c>
      <c r="I758" t="s">
        <v>704</v>
      </c>
      <c r="J758">
        <f t="shared" si="106"/>
        <v>35.5</v>
      </c>
      <c r="K758" t="s">
        <v>747</v>
      </c>
      <c r="L758" t="s">
        <v>462</v>
      </c>
      <c r="M758" t="s">
        <v>707</v>
      </c>
      <c r="N758" t="s">
        <v>422</v>
      </c>
      <c r="O758" t="s">
        <v>707</v>
      </c>
      <c r="R758" t="s">
        <v>408</v>
      </c>
      <c r="S758" t="s">
        <v>701</v>
      </c>
      <c r="T758" t="s">
        <v>695</v>
      </c>
      <c r="U758" t="s">
        <v>610</v>
      </c>
      <c r="V758" s="1" t="s">
        <v>733</v>
      </c>
      <c r="W758" s="1">
        <f t="shared" si="107"/>
        <v>1.815E-9</v>
      </c>
      <c r="X758" s="1"/>
      <c r="Y758" s="1"/>
      <c r="Z758" s="1"/>
      <c r="AA758" s="1"/>
      <c r="AB758" s="1">
        <v>5.5000000000000003E-8</v>
      </c>
      <c r="AD758">
        <v>330</v>
      </c>
      <c r="AF758" s="2"/>
      <c r="AG758" s="2"/>
      <c r="AK758" t="s">
        <v>348</v>
      </c>
    </row>
    <row r="759" spans="1:37" hidden="1" x14ac:dyDescent="0.25">
      <c r="A759" t="s">
        <v>130</v>
      </c>
      <c r="B759" t="s">
        <v>53</v>
      </c>
      <c r="C759" t="s">
        <v>54</v>
      </c>
      <c r="D759" t="s">
        <v>16</v>
      </c>
      <c r="E759" t="s">
        <v>17</v>
      </c>
      <c r="F759" t="s">
        <v>18</v>
      </c>
      <c r="G759" t="s">
        <v>18</v>
      </c>
      <c r="H759" t="s">
        <v>18</v>
      </c>
      <c r="I759" t="s">
        <v>704</v>
      </c>
      <c r="J759">
        <f t="shared" si="106"/>
        <v>35.5</v>
      </c>
      <c r="K759" t="s">
        <v>747</v>
      </c>
      <c r="L759" t="s">
        <v>462</v>
      </c>
      <c r="M759" t="s">
        <v>707</v>
      </c>
      <c r="N759" t="s">
        <v>426</v>
      </c>
      <c r="O759" t="s">
        <v>707</v>
      </c>
      <c r="R759" t="s">
        <v>408</v>
      </c>
      <c r="S759" t="s">
        <v>701</v>
      </c>
      <c r="T759" t="s">
        <v>695</v>
      </c>
      <c r="U759" t="s">
        <v>610</v>
      </c>
      <c r="V759" s="1" t="s">
        <v>733</v>
      </c>
      <c r="W759" s="1">
        <f t="shared" si="107"/>
        <v>9.6599999999999997E-10</v>
      </c>
      <c r="X759" s="1"/>
      <c r="Y759" s="1"/>
      <c r="Z759" s="1"/>
      <c r="AA759" s="1"/>
      <c r="AB759" s="1">
        <v>4.2000000000000006E-8</v>
      </c>
      <c r="AD759">
        <v>230</v>
      </c>
      <c r="AF759" s="2"/>
      <c r="AG759" s="2"/>
      <c r="AK759" t="s">
        <v>348</v>
      </c>
    </row>
    <row r="760" spans="1:37" hidden="1" x14ac:dyDescent="0.25">
      <c r="A760" t="s">
        <v>130</v>
      </c>
      <c r="B760" t="s">
        <v>53</v>
      </c>
      <c r="C760" t="s">
        <v>54</v>
      </c>
      <c r="D760" t="s">
        <v>16</v>
      </c>
      <c r="E760" t="s">
        <v>17</v>
      </c>
      <c r="F760" t="s">
        <v>18</v>
      </c>
      <c r="G760" t="s">
        <v>18</v>
      </c>
      <c r="H760" t="s">
        <v>18</v>
      </c>
      <c r="I760" t="s">
        <v>704</v>
      </c>
      <c r="J760">
        <f t="shared" si="106"/>
        <v>35.5</v>
      </c>
      <c r="K760" t="s">
        <v>747</v>
      </c>
      <c r="L760" t="s">
        <v>163</v>
      </c>
      <c r="M760" t="s">
        <v>707</v>
      </c>
      <c r="N760" t="s">
        <v>422</v>
      </c>
      <c r="O760" t="s">
        <v>707</v>
      </c>
      <c r="R760" t="s">
        <v>408</v>
      </c>
      <c r="S760" t="s">
        <v>701</v>
      </c>
      <c r="T760" t="s">
        <v>695</v>
      </c>
      <c r="U760" t="s">
        <v>610</v>
      </c>
      <c r="V760" s="1" t="s">
        <v>733</v>
      </c>
      <c r="W760" s="1">
        <f t="shared" si="107"/>
        <v>5.3200000000000002E-10</v>
      </c>
      <c r="X760" s="1"/>
      <c r="Y760" s="1"/>
      <c r="Z760" s="1"/>
      <c r="AA760" s="1"/>
      <c r="AB760" s="1">
        <v>2.7999999999999999E-8</v>
      </c>
      <c r="AD760">
        <v>190</v>
      </c>
      <c r="AF760" s="2"/>
      <c r="AG760" s="2"/>
      <c r="AK760" t="s">
        <v>348</v>
      </c>
    </row>
    <row r="761" spans="1:37" hidden="1" x14ac:dyDescent="0.25">
      <c r="A761" t="s">
        <v>130</v>
      </c>
      <c r="B761" t="s">
        <v>53</v>
      </c>
      <c r="C761" t="s">
        <v>54</v>
      </c>
      <c r="D761" t="s">
        <v>16</v>
      </c>
      <c r="E761" t="s">
        <v>17</v>
      </c>
      <c r="F761" t="s">
        <v>18</v>
      </c>
      <c r="G761" t="s">
        <v>18</v>
      </c>
      <c r="H761" t="s">
        <v>18</v>
      </c>
      <c r="I761" t="s">
        <v>704</v>
      </c>
      <c r="J761">
        <f t="shared" si="106"/>
        <v>35.5</v>
      </c>
      <c r="K761" t="s">
        <v>747</v>
      </c>
      <c r="L761" t="s">
        <v>163</v>
      </c>
      <c r="M761" t="s">
        <v>707</v>
      </c>
      <c r="N761" t="s">
        <v>426</v>
      </c>
      <c r="O761" t="s">
        <v>707</v>
      </c>
      <c r="R761" t="s">
        <v>408</v>
      </c>
      <c r="S761" t="s">
        <v>701</v>
      </c>
      <c r="T761" t="s">
        <v>695</v>
      </c>
      <c r="U761" t="s">
        <v>610</v>
      </c>
      <c r="V761" s="1" t="s">
        <v>733</v>
      </c>
      <c r="W761" s="1">
        <f t="shared" si="107"/>
        <v>1.0080000000000002E-9</v>
      </c>
      <c r="X761" s="1"/>
      <c r="Y761" s="1"/>
      <c r="Z761" s="1"/>
      <c r="AA761" s="1"/>
      <c r="AB761" s="1">
        <v>3.6000000000000005E-8</v>
      </c>
      <c r="AD761">
        <v>280</v>
      </c>
      <c r="AF761" s="2"/>
      <c r="AG761" s="2"/>
      <c r="AK761" t="s">
        <v>348</v>
      </c>
    </row>
    <row r="762" spans="1:37" hidden="1" x14ac:dyDescent="0.25">
      <c r="A762" t="s">
        <v>327</v>
      </c>
      <c r="B762" t="s">
        <v>353</v>
      </c>
      <c r="C762" t="s">
        <v>354</v>
      </c>
      <c r="D762" t="s">
        <v>16</v>
      </c>
      <c r="E762" t="s">
        <v>17</v>
      </c>
      <c r="F762" t="s">
        <v>18</v>
      </c>
      <c r="G762" t="s">
        <v>18</v>
      </c>
      <c r="H762" t="s">
        <v>18</v>
      </c>
      <c r="I762" t="s">
        <v>704</v>
      </c>
      <c r="J762">
        <v>21</v>
      </c>
      <c r="K762" t="s">
        <v>756</v>
      </c>
      <c r="L762" t="s">
        <v>756</v>
      </c>
      <c r="M762" t="s">
        <v>756</v>
      </c>
      <c r="R762" t="s">
        <v>407</v>
      </c>
      <c r="S762" t="s">
        <v>701</v>
      </c>
      <c r="T762" t="s">
        <v>695</v>
      </c>
      <c r="U762" t="s">
        <v>609</v>
      </c>
      <c r="V762" s="1" t="s">
        <v>774</v>
      </c>
      <c r="W762" s="1">
        <f>[101]Martre_etal_2001_Fig6a!E10</f>
        <v>2.0520612491267881E-9</v>
      </c>
      <c r="X762" s="1"/>
      <c r="Y762" s="1"/>
      <c r="Z762" s="1"/>
      <c r="AA762" s="1"/>
      <c r="AC762" s="1"/>
      <c r="AF762" s="2"/>
      <c r="AG762" s="2">
        <f>[101]Martre_etal_2001_Fig6a!D10</f>
        <v>1.43472280937607</v>
      </c>
      <c r="AI762" s="5">
        <f>[102]Martre_etal_2001_Fig6b!E10</f>
        <v>1.06793595434368E-2</v>
      </c>
      <c r="AK762" t="s">
        <v>355</v>
      </c>
    </row>
    <row r="763" spans="1:37" hidden="1" x14ac:dyDescent="0.25">
      <c r="A763" t="s">
        <v>327</v>
      </c>
      <c r="B763" t="s">
        <v>353</v>
      </c>
      <c r="C763" t="s">
        <v>354</v>
      </c>
      <c r="D763" t="s">
        <v>16</v>
      </c>
      <c r="E763" t="s">
        <v>17</v>
      </c>
      <c r="F763" t="s">
        <v>18</v>
      </c>
      <c r="G763" t="s">
        <v>18</v>
      </c>
      <c r="H763" t="s">
        <v>18</v>
      </c>
      <c r="I763" t="s">
        <v>704</v>
      </c>
      <c r="J763">
        <v>21</v>
      </c>
      <c r="K763" t="s">
        <v>756</v>
      </c>
      <c r="L763" t="s">
        <v>756</v>
      </c>
      <c r="M763" t="s">
        <v>756</v>
      </c>
      <c r="R763" t="s">
        <v>408</v>
      </c>
      <c r="S763" t="s">
        <v>701</v>
      </c>
      <c r="T763" t="s">
        <v>695</v>
      </c>
      <c r="U763" t="s">
        <v>609</v>
      </c>
      <c r="V763" s="1" t="s">
        <v>774</v>
      </c>
      <c r="W763" s="1">
        <f>[101]Martre_etal_2001_Fig6a!E11</f>
        <v>3.5759065018945584E-9</v>
      </c>
      <c r="X763" s="1"/>
      <c r="Y763" s="1"/>
      <c r="Z763" s="1"/>
      <c r="AA763" s="1"/>
      <c r="AC763" s="1"/>
      <c r="AF763" s="2"/>
      <c r="AG763" s="2">
        <f>[101]Martre_etal_2001_Fig6a!D11</f>
        <v>4.7348278873657366</v>
      </c>
      <c r="AI763" s="5">
        <f>[102]Martre_etal_2001_Fig6b!E11</f>
        <v>1.5638142041851519E-2</v>
      </c>
      <c r="AK763" t="s">
        <v>355</v>
      </c>
    </row>
    <row r="764" spans="1:37" hidden="1" x14ac:dyDescent="0.25">
      <c r="A764" t="s">
        <v>327</v>
      </c>
      <c r="B764" t="s">
        <v>353</v>
      </c>
      <c r="C764" t="s">
        <v>354</v>
      </c>
      <c r="D764" t="s">
        <v>16</v>
      </c>
      <c r="E764" t="s">
        <v>17</v>
      </c>
      <c r="F764" t="s">
        <v>18</v>
      </c>
      <c r="G764" t="s">
        <v>18</v>
      </c>
      <c r="H764" t="s">
        <v>18</v>
      </c>
      <c r="I764" t="s">
        <v>704</v>
      </c>
      <c r="J764">
        <v>21</v>
      </c>
      <c r="K764" t="s">
        <v>756</v>
      </c>
      <c r="L764" t="s">
        <v>756</v>
      </c>
      <c r="M764" t="s">
        <v>756</v>
      </c>
      <c r="R764" t="s">
        <v>409</v>
      </c>
      <c r="S764" t="s">
        <v>701</v>
      </c>
      <c r="T764" t="s">
        <v>695</v>
      </c>
      <c r="U764" t="s">
        <v>609</v>
      </c>
      <c r="V764" s="1" t="s">
        <v>774</v>
      </c>
      <c r="W764" s="1">
        <f>[101]Martre_etal_2001_Fig6a!E12</f>
        <v>5.2129851743338201E-9</v>
      </c>
      <c r="X764" s="1"/>
      <c r="Y764" s="1"/>
      <c r="Z764" s="1"/>
      <c r="AA764" s="1"/>
      <c r="AC764" s="1"/>
      <c r="AF764" s="2"/>
      <c r="AG764" s="2">
        <f>[101]Martre_etal_2001_Fig6a!D12</f>
        <v>11.051588593415399</v>
      </c>
      <c r="AI764" s="5">
        <f>[102]Martre_etal_2001_Fig6b!E12</f>
        <v>2.1835256816740499E-2</v>
      </c>
      <c r="AK764" t="s">
        <v>355</v>
      </c>
    </row>
    <row r="765" spans="1:37" hidden="1" x14ac:dyDescent="0.25">
      <c r="A765" t="s">
        <v>131</v>
      </c>
      <c r="B765" t="s">
        <v>132</v>
      </c>
      <c r="C765" t="s">
        <v>133</v>
      </c>
      <c r="D765" t="s">
        <v>120</v>
      </c>
      <c r="E765" t="s">
        <v>17</v>
      </c>
      <c r="F765" t="s">
        <v>135</v>
      </c>
      <c r="G765" t="s">
        <v>134</v>
      </c>
      <c r="H765" t="s">
        <v>134</v>
      </c>
      <c r="I765" t="s">
        <v>134</v>
      </c>
      <c r="K765" t="s">
        <v>136</v>
      </c>
      <c r="L765" t="s">
        <v>36</v>
      </c>
      <c r="M765" t="str">
        <f t="shared" ref="M765:M774" si="108">+IF(L765 = "Control", "Control", "Stress")</f>
        <v>Control</v>
      </c>
      <c r="R765" t="s">
        <v>408</v>
      </c>
      <c r="S765" t="s">
        <v>701</v>
      </c>
      <c r="T765" t="s">
        <v>695</v>
      </c>
      <c r="U765" t="s">
        <v>609</v>
      </c>
      <c r="V765" s="1" t="s">
        <v>774</v>
      </c>
      <c r="W765" s="1">
        <f>[103]Else_etal_2001_Fig3b!B2</f>
        <v>1.08487084870848E-8</v>
      </c>
      <c r="X765" s="1"/>
      <c r="Y765" s="1"/>
      <c r="Z765" s="1"/>
      <c r="AA765" s="1"/>
      <c r="AC765" s="1"/>
      <c r="AF765" s="2"/>
      <c r="AG765" s="2"/>
      <c r="AK765" t="s">
        <v>199</v>
      </c>
    </row>
    <row r="766" spans="1:37" hidden="1" x14ac:dyDescent="0.25">
      <c r="A766" t="s">
        <v>131</v>
      </c>
      <c r="B766" t="s">
        <v>132</v>
      </c>
      <c r="C766" t="s">
        <v>133</v>
      </c>
      <c r="D766" t="s">
        <v>120</v>
      </c>
      <c r="E766" t="s">
        <v>17</v>
      </c>
      <c r="F766" t="s">
        <v>135</v>
      </c>
      <c r="G766" t="s">
        <v>134</v>
      </c>
      <c r="H766" t="s">
        <v>134</v>
      </c>
      <c r="I766" t="s">
        <v>134</v>
      </c>
      <c r="K766" t="s">
        <v>136</v>
      </c>
      <c r="L766" t="s">
        <v>100</v>
      </c>
      <c r="M766" t="str">
        <f t="shared" si="108"/>
        <v>Stress</v>
      </c>
      <c r="R766" t="s">
        <v>408</v>
      </c>
      <c r="S766" t="s">
        <v>701</v>
      </c>
      <c r="T766" t="s">
        <v>695</v>
      </c>
      <c r="U766" t="s">
        <v>609</v>
      </c>
      <c r="V766" s="1" t="s">
        <v>774</v>
      </c>
      <c r="W766" s="1">
        <f>[103]Else_etal_2001_Fig3b!B3</f>
        <v>3.7084870848708399E-9</v>
      </c>
      <c r="X766" s="1"/>
      <c r="Y766" s="1"/>
      <c r="Z766" s="1"/>
      <c r="AA766" s="1"/>
      <c r="AC766" s="1"/>
      <c r="AF766" s="2"/>
      <c r="AG766" s="2"/>
      <c r="AK766" t="s">
        <v>199</v>
      </c>
    </row>
    <row r="767" spans="1:37" hidden="1" x14ac:dyDescent="0.25">
      <c r="A767" t="s">
        <v>579</v>
      </c>
      <c r="B767" t="s">
        <v>50</v>
      </c>
      <c r="C767" t="s">
        <v>51</v>
      </c>
      <c r="D767" t="s">
        <v>16</v>
      </c>
      <c r="E767" t="s">
        <v>29</v>
      </c>
      <c r="F767" t="s">
        <v>30</v>
      </c>
      <c r="G767" t="s">
        <v>30</v>
      </c>
      <c r="H767" t="s">
        <v>30</v>
      </c>
      <c r="I767" t="s">
        <v>704</v>
      </c>
      <c r="J767">
        <f>5+11</f>
        <v>16</v>
      </c>
      <c r="K767" t="s">
        <v>665</v>
      </c>
      <c r="L767" t="s">
        <v>36</v>
      </c>
      <c r="M767" t="str">
        <f t="shared" si="108"/>
        <v>Control</v>
      </c>
      <c r="N767" t="s">
        <v>580</v>
      </c>
      <c r="O767" t="s">
        <v>707</v>
      </c>
      <c r="R767" t="s">
        <v>408</v>
      </c>
      <c r="S767" t="s">
        <v>701</v>
      </c>
      <c r="T767" t="s">
        <v>695</v>
      </c>
      <c r="U767" t="s">
        <v>609</v>
      </c>
      <c r="V767" s="1"/>
      <c r="W767" s="1"/>
      <c r="X767" s="1"/>
      <c r="Y767" s="1">
        <f>[104]Aroca_etal_2001_Fig2!C2</f>
        <v>1.1375414593698167E-8</v>
      </c>
      <c r="Z767" s="1"/>
      <c r="AA767" s="1"/>
      <c r="AC767" s="1"/>
      <c r="AF767" s="2"/>
      <c r="AG767" s="2"/>
      <c r="AK767" t="s">
        <v>199</v>
      </c>
    </row>
    <row r="768" spans="1:37" hidden="1" x14ac:dyDescent="0.25">
      <c r="A768" t="s">
        <v>579</v>
      </c>
      <c r="B768" t="s">
        <v>50</v>
      </c>
      <c r="C768" t="s">
        <v>51</v>
      </c>
      <c r="D768" t="s">
        <v>16</v>
      </c>
      <c r="E768" t="s">
        <v>29</v>
      </c>
      <c r="F768" t="s">
        <v>30</v>
      </c>
      <c r="G768" t="s">
        <v>30</v>
      </c>
      <c r="H768" t="s">
        <v>30</v>
      </c>
      <c r="I768" t="s">
        <v>704</v>
      </c>
      <c r="J768">
        <f>5+11</f>
        <v>16</v>
      </c>
      <c r="K768" t="s">
        <v>665</v>
      </c>
      <c r="L768" t="s">
        <v>36</v>
      </c>
      <c r="M768" t="str">
        <f t="shared" si="108"/>
        <v>Control</v>
      </c>
      <c r="N768" t="s">
        <v>581</v>
      </c>
      <c r="O768" t="s">
        <v>707</v>
      </c>
      <c r="R768" t="s">
        <v>408</v>
      </c>
      <c r="S768" t="s">
        <v>701</v>
      </c>
      <c r="T768" t="s">
        <v>695</v>
      </c>
      <c r="U768" t="s">
        <v>609</v>
      </c>
      <c r="V768" s="1"/>
      <c r="W768" s="1"/>
      <c r="X768" s="1"/>
      <c r="Y768" s="1">
        <f>[104]Aroca_etal_2001_Fig2!C3</f>
        <v>1.3370646766169139E-8</v>
      </c>
      <c r="Z768" s="1"/>
      <c r="AA768" s="1"/>
      <c r="AC768" s="1"/>
      <c r="AF768" s="2"/>
      <c r="AG768" s="2"/>
      <c r="AK768" t="s">
        <v>199</v>
      </c>
    </row>
    <row r="769" spans="1:37" hidden="1" x14ac:dyDescent="0.25">
      <c r="A769" t="s">
        <v>579</v>
      </c>
      <c r="B769" t="s">
        <v>50</v>
      </c>
      <c r="C769" t="s">
        <v>51</v>
      </c>
      <c r="D769" t="s">
        <v>16</v>
      </c>
      <c r="E769" t="s">
        <v>29</v>
      </c>
      <c r="F769" t="s">
        <v>30</v>
      </c>
      <c r="G769" t="s">
        <v>30</v>
      </c>
      <c r="H769" t="s">
        <v>30</v>
      </c>
      <c r="I769" t="s">
        <v>704</v>
      </c>
      <c r="J769">
        <f>5+11+0.25</f>
        <v>16.25</v>
      </c>
      <c r="K769" t="s">
        <v>665</v>
      </c>
      <c r="L769" t="s">
        <v>496</v>
      </c>
      <c r="M769" t="str">
        <f t="shared" si="108"/>
        <v>Stress</v>
      </c>
      <c r="N769" t="s">
        <v>580</v>
      </c>
      <c r="O769" t="s">
        <v>707</v>
      </c>
      <c r="R769" t="s">
        <v>408</v>
      </c>
      <c r="S769" t="s">
        <v>701</v>
      </c>
      <c r="T769" t="s">
        <v>695</v>
      </c>
      <c r="U769" t="s">
        <v>609</v>
      </c>
      <c r="V769" s="1"/>
      <c r="W769" s="1"/>
      <c r="X769" s="1"/>
      <c r="Y769" s="1">
        <f>[104]Aroca_etal_2001_Fig2!C4</f>
        <v>1.9434079601990056E-9</v>
      </c>
      <c r="Z769" s="1"/>
      <c r="AA769" s="1"/>
      <c r="AC769" s="1"/>
      <c r="AF769" s="2"/>
      <c r="AG769" s="2"/>
      <c r="AK769" t="s">
        <v>199</v>
      </c>
    </row>
    <row r="770" spans="1:37" hidden="1" x14ac:dyDescent="0.25">
      <c r="A770" t="s">
        <v>579</v>
      </c>
      <c r="B770" t="s">
        <v>50</v>
      </c>
      <c r="C770" t="s">
        <v>51</v>
      </c>
      <c r="D770" t="s">
        <v>16</v>
      </c>
      <c r="E770" t="s">
        <v>29</v>
      </c>
      <c r="F770" t="s">
        <v>30</v>
      </c>
      <c r="G770" t="s">
        <v>30</v>
      </c>
      <c r="H770" t="s">
        <v>30</v>
      </c>
      <c r="I770" t="s">
        <v>704</v>
      </c>
      <c r="J770">
        <f>5+11+0.25</f>
        <v>16.25</v>
      </c>
      <c r="K770" t="s">
        <v>665</v>
      </c>
      <c r="L770" t="s">
        <v>496</v>
      </c>
      <c r="M770" t="str">
        <f t="shared" si="108"/>
        <v>Stress</v>
      </c>
      <c r="N770" t="s">
        <v>581</v>
      </c>
      <c r="O770" t="s">
        <v>707</v>
      </c>
      <c r="R770" t="s">
        <v>408</v>
      </c>
      <c r="S770" t="s">
        <v>701</v>
      </c>
      <c r="T770" t="s">
        <v>695</v>
      </c>
      <c r="U770" t="s">
        <v>609</v>
      </c>
      <c r="V770" s="1"/>
      <c r="W770" s="1"/>
      <c r="X770" s="1"/>
      <c r="Y770" s="1">
        <f>[104]Aroca_etal_2001_Fig2!C5</f>
        <v>3.0058043117744443E-9</v>
      </c>
      <c r="Z770" s="1"/>
      <c r="AA770" s="1"/>
      <c r="AC770" s="1"/>
      <c r="AF770" s="2"/>
      <c r="AG770" s="2"/>
      <c r="AK770" t="s">
        <v>199</v>
      </c>
    </row>
    <row r="771" spans="1:37" hidden="1" x14ac:dyDescent="0.25">
      <c r="A771" t="s">
        <v>579</v>
      </c>
      <c r="B771" t="s">
        <v>50</v>
      </c>
      <c r="C771" t="s">
        <v>51</v>
      </c>
      <c r="D771" t="s">
        <v>16</v>
      </c>
      <c r="E771" t="s">
        <v>29</v>
      </c>
      <c r="F771" t="s">
        <v>30</v>
      </c>
      <c r="G771" t="s">
        <v>30</v>
      </c>
      <c r="H771" t="s">
        <v>30</v>
      </c>
      <c r="I771" t="s">
        <v>704</v>
      </c>
      <c r="J771">
        <f>5+11+1.25</f>
        <v>17.25</v>
      </c>
      <c r="K771" t="s">
        <v>665</v>
      </c>
      <c r="L771" t="s">
        <v>496</v>
      </c>
      <c r="M771" t="str">
        <f t="shared" si="108"/>
        <v>Stress</v>
      </c>
      <c r="N771" t="s">
        <v>580</v>
      </c>
      <c r="O771" t="s">
        <v>707</v>
      </c>
      <c r="R771" t="s">
        <v>408</v>
      </c>
      <c r="S771" t="s">
        <v>701</v>
      </c>
      <c r="T771" t="s">
        <v>695</v>
      </c>
      <c r="U771" t="s">
        <v>609</v>
      </c>
      <c r="V771" s="1"/>
      <c r="W771" s="1"/>
      <c r="X771" s="1"/>
      <c r="Y771" s="1">
        <f>[104]Aroca_etal_2001_Fig2!C6</f>
        <v>1.4251658374792695E-9</v>
      </c>
      <c r="Z771" s="1"/>
      <c r="AA771" s="1"/>
      <c r="AC771" s="1"/>
      <c r="AF771" s="2"/>
      <c r="AG771" s="2"/>
      <c r="AK771" t="s">
        <v>199</v>
      </c>
    </row>
    <row r="772" spans="1:37" hidden="1" x14ac:dyDescent="0.25">
      <c r="A772" t="s">
        <v>579</v>
      </c>
      <c r="B772" t="s">
        <v>50</v>
      </c>
      <c r="C772" t="s">
        <v>51</v>
      </c>
      <c r="D772" t="s">
        <v>16</v>
      </c>
      <c r="E772" t="s">
        <v>29</v>
      </c>
      <c r="F772" t="s">
        <v>30</v>
      </c>
      <c r="G772" t="s">
        <v>30</v>
      </c>
      <c r="H772" t="s">
        <v>30</v>
      </c>
      <c r="I772" t="s">
        <v>704</v>
      </c>
      <c r="J772">
        <f>5+11+1.25</f>
        <v>17.25</v>
      </c>
      <c r="K772" t="s">
        <v>665</v>
      </c>
      <c r="L772" t="s">
        <v>496</v>
      </c>
      <c r="M772" t="str">
        <f t="shared" si="108"/>
        <v>Stress</v>
      </c>
      <c r="N772" t="s">
        <v>581</v>
      </c>
      <c r="O772" t="s">
        <v>707</v>
      </c>
      <c r="R772" t="s">
        <v>408</v>
      </c>
      <c r="S772" t="s">
        <v>701</v>
      </c>
      <c r="T772" t="s">
        <v>695</v>
      </c>
      <c r="U772" t="s">
        <v>609</v>
      </c>
      <c r="V772" s="1"/>
      <c r="W772" s="1"/>
      <c r="X772" s="1"/>
      <c r="Y772" s="1">
        <f>[104]Aroca_etal_2001_Fig2!C7</f>
        <v>8.3696102819236946E-9</v>
      </c>
      <c r="Z772" s="1"/>
      <c r="AA772" s="1"/>
      <c r="AC772" s="1"/>
      <c r="AF772" s="2"/>
      <c r="AG772" s="2"/>
      <c r="AK772" t="s">
        <v>199</v>
      </c>
    </row>
    <row r="773" spans="1:37" hidden="1" x14ac:dyDescent="0.25">
      <c r="A773" t="s">
        <v>579</v>
      </c>
      <c r="B773" t="s">
        <v>50</v>
      </c>
      <c r="C773" t="s">
        <v>51</v>
      </c>
      <c r="D773" t="s">
        <v>16</v>
      </c>
      <c r="E773" t="s">
        <v>29</v>
      </c>
      <c r="F773" t="s">
        <v>30</v>
      </c>
      <c r="G773" t="s">
        <v>30</v>
      </c>
      <c r="H773" t="s">
        <v>30</v>
      </c>
      <c r="I773" t="s">
        <v>704</v>
      </c>
      <c r="J773">
        <f>5+11+2.25</f>
        <v>18.25</v>
      </c>
      <c r="K773" t="s">
        <v>665</v>
      </c>
      <c r="L773" t="s">
        <v>496</v>
      </c>
      <c r="M773" t="str">
        <f t="shared" si="108"/>
        <v>Stress</v>
      </c>
      <c r="N773" t="s">
        <v>580</v>
      </c>
      <c r="O773" t="s">
        <v>707</v>
      </c>
      <c r="R773" t="s">
        <v>408</v>
      </c>
      <c r="S773" t="s">
        <v>701</v>
      </c>
      <c r="T773" t="s">
        <v>695</v>
      </c>
      <c r="U773" t="s">
        <v>609</v>
      </c>
      <c r="V773" s="1"/>
      <c r="W773" s="1"/>
      <c r="X773" s="1"/>
      <c r="Y773" s="1">
        <f>[104]Aroca_etal_2001_Fig2!C8</f>
        <v>1.8138474295190723E-9</v>
      </c>
      <c r="Z773" s="1"/>
      <c r="AA773" s="1"/>
      <c r="AC773" s="1"/>
      <c r="AF773" s="2"/>
      <c r="AG773" s="2"/>
      <c r="AK773" t="s">
        <v>199</v>
      </c>
    </row>
    <row r="774" spans="1:37" hidden="1" x14ac:dyDescent="0.25">
      <c r="A774" t="s">
        <v>579</v>
      </c>
      <c r="B774" t="s">
        <v>50</v>
      </c>
      <c r="C774" t="s">
        <v>51</v>
      </c>
      <c r="D774" t="s">
        <v>16</v>
      </c>
      <c r="E774" t="s">
        <v>29</v>
      </c>
      <c r="F774" t="s">
        <v>30</v>
      </c>
      <c r="G774" t="s">
        <v>30</v>
      </c>
      <c r="H774" t="s">
        <v>30</v>
      </c>
      <c r="I774" t="s">
        <v>704</v>
      </c>
      <c r="J774">
        <f>5+11+2.25</f>
        <v>18.25</v>
      </c>
      <c r="K774" t="s">
        <v>665</v>
      </c>
      <c r="L774" t="s">
        <v>496</v>
      </c>
      <c r="M774" t="str">
        <f t="shared" si="108"/>
        <v>Stress</v>
      </c>
      <c r="N774" t="s">
        <v>581</v>
      </c>
      <c r="O774" t="s">
        <v>707</v>
      </c>
      <c r="R774" t="s">
        <v>408</v>
      </c>
      <c r="S774" t="s">
        <v>701</v>
      </c>
      <c r="T774" t="s">
        <v>695</v>
      </c>
      <c r="U774" t="s">
        <v>609</v>
      </c>
      <c r="V774" s="1"/>
      <c r="W774" s="1"/>
      <c r="X774" s="1"/>
      <c r="Y774" s="1">
        <f>[104]Aroca_etal_2001_Fig2!C9</f>
        <v>8.3436981757877219E-9</v>
      </c>
      <c r="Z774" s="1"/>
      <c r="AA774" s="1"/>
      <c r="AC774" s="1"/>
      <c r="AF774" s="2"/>
      <c r="AG774" s="2"/>
      <c r="AK774" t="s">
        <v>199</v>
      </c>
    </row>
    <row r="775" spans="1:37" hidden="1" x14ac:dyDescent="0.25">
      <c r="A775" t="s">
        <v>295</v>
      </c>
      <c r="B775" t="s">
        <v>98</v>
      </c>
      <c r="C775" t="s">
        <v>99</v>
      </c>
      <c r="D775" t="s">
        <v>89</v>
      </c>
      <c r="E775" t="s">
        <v>17</v>
      </c>
      <c r="F775" t="s">
        <v>618</v>
      </c>
      <c r="G775" t="s">
        <v>618</v>
      </c>
      <c r="H775" t="s">
        <v>801</v>
      </c>
      <c r="I775" t="s">
        <v>804</v>
      </c>
      <c r="J775">
        <f t="shared" ref="J775:J787" si="109">1*30</f>
        <v>30</v>
      </c>
      <c r="K775" t="s">
        <v>742</v>
      </c>
      <c r="L775" t="s">
        <v>483</v>
      </c>
      <c r="M775" t="s">
        <v>707</v>
      </c>
      <c r="R775" t="s">
        <v>408</v>
      </c>
      <c r="S775" t="s">
        <v>701</v>
      </c>
      <c r="T775" t="s">
        <v>695</v>
      </c>
      <c r="U775" t="s">
        <v>609</v>
      </c>
      <c r="V775" s="1" t="s">
        <v>733</v>
      </c>
      <c r="W775" s="1">
        <f t="shared" ref="W775:W787" si="110">+AC775*AI775</f>
        <v>9.3536837957432383E-9</v>
      </c>
      <c r="X775" s="1"/>
      <c r="AC775" s="1">
        <f>'[105]Tsuda&amp;Tyree_2000_Fig1'!D2</f>
        <v>1.5589472992905398E-7</v>
      </c>
      <c r="AI775">
        <f t="shared" ref="AI775:AI787" si="111">+AVERAGE(0.03,0.09)</f>
        <v>0.06</v>
      </c>
      <c r="AK775" t="s">
        <v>44</v>
      </c>
    </row>
    <row r="776" spans="1:37" hidden="1" x14ac:dyDescent="0.25">
      <c r="A776" t="s">
        <v>295</v>
      </c>
      <c r="B776" t="s">
        <v>63</v>
      </c>
      <c r="C776" t="s">
        <v>64</v>
      </c>
      <c r="D776" t="s">
        <v>65</v>
      </c>
      <c r="E776" t="s">
        <v>17</v>
      </c>
      <c r="F776" t="s">
        <v>614</v>
      </c>
      <c r="G776" t="s">
        <v>614</v>
      </c>
      <c r="H776" t="s">
        <v>801</v>
      </c>
      <c r="I776" t="s">
        <v>804</v>
      </c>
      <c r="J776">
        <f t="shared" si="109"/>
        <v>30</v>
      </c>
      <c r="K776" t="s">
        <v>742</v>
      </c>
      <c r="L776" t="s">
        <v>483</v>
      </c>
      <c r="M776" t="s">
        <v>707</v>
      </c>
      <c r="R776" t="s">
        <v>408</v>
      </c>
      <c r="S776" t="s">
        <v>701</v>
      </c>
      <c r="T776" t="s">
        <v>695</v>
      </c>
      <c r="U776" t="s">
        <v>609</v>
      </c>
      <c r="V776" s="1" t="s">
        <v>733</v>
      </c>
      <c r="W776" s="1">
        <f t="shared" si="110"/>
        <v>1.6952401748247658E-8</v>
      </c>
      <c r="X776" s="1"/>
      <c r="AC776" s="1">
        <f>'[105]Tsuda&amp;Tyree_2000_Fig1'!D3</f>
        <v>2.8254002913746099E-7</v>
      </c>
      <c r="AI776">
        <f t="shared" si="111"/>
        <v>0.06</v>
      </c>
      <c r="AK776" t="s">
        <v>44</v>
      </c>
    </row>
    <row r="777" spans="1:37" hidden="1" x14ac:dyDescent="0.25">
      <c r="A777" t="s">
        <v>295</v>
      </c>
      <c r="B777" t="s">
        <v>220</v>
      </c>
      <c r="C777" t="s">
        <v>221</v>
      </c>
      <c r="D777" t="s">
        <v>89</v>
      </c>
      <c r="E777" t="s">
        <v>17</v>
      </c>
      <c r="F777" t="s">
        <v>618</v>
      </c>
      <c r="G777" t="s">
        <v>618</v>
      </c>
      <c r="H777" t="s">
        <v>801</v>
      </c>
      <c r="I777" t="s">
        <v>804</v>
      </c>
      <c r="J777">
        <f t="shared" si="109"/>
        <v>30</v>
      </c>
      <c r="K777" t="s">
        <v>742</v>
      </c>
      <c r="L777" t="s">
        <v>483</v>
      </c>
      <c r="M777" t="s">
        <v>707</v>
      </c>
      <c r="R777" t="s">
        <v>408</v>
      </c>
      <c r="S777" t="s">
        <v>701</v>
      </c>
      <c r="T777" t="s">
        <v>695</v>
      </c>
      <c r="U777" t="s">
        <v>609</v>
      </c>
      <c r="V777" s="1" t="s">
        <v>733</v>
      </c>
      <c r="W777" s="1">
        <f t="shared" si="110"/>
        <v>6.9288856111290587E-9</v>
      </c>
      <c r="X777" s="1"/>
      <c r="AC777" s="1">
        <f>'[105]Tsuda&amp;Tyree_2000_Fig1'!D4</f>
        <v>1.1548142685215098E-7</v>
      </c>
      <c r="AI777">
        <f t="shared" si="111"/>
        <v>0.06</v>
      </c>
      <c r="AK777" t="s">
        <v>44</v>
      </c>
    </row>
    <row r="778" spans="1:37" hidden="1" x14ac:dyDescent="0.25">
      <c r="A778" t="s">
        <v>295</v>
      </c>
      <c r="B778" t="s">
        <v>32</v>
      </c>
      <c r="C778" t="s">
        <v>33</v>
      </c>
      <c r="D778" t="s">
        <v>34</v>
      </c>
      <c r="E778" t="s">
        <v>17</v>
      </c>
      <c r="F778" t="s">
        <v>614</v>
      </c>
      <c r="G778" t="s">
        <v>614</v>
      </c>
      <c r="H778" t="s">
        <v>801</v>
      </c>
      <c r="I778" t="s">
        <v>804</v>
      </c>
      <c r="J778">
        <f t="shared" si="109"/>
        <v>30</v>
      </c>
      <c r="K778" t="s">
        <v>742</v>
      </c>
      <c r="L778" t="s">
        <v>483</v>
      </c>
      <c r="M778" t="s">
        <v>707</v>
      </c>
      <c r="R778" t="s">
        <v>408</v>
      </c>
      <c r="S778" t="s">
        <v>701</v>
      </c>
      <c r="T778" t="s">
        <v>695</v>
      </c>
      <c r="U778" t="s">
        <v>609</v>
      </c>
      <c r="V778" s="1" t="s">
        <v>733</v>
      </c>
      <c r="W778" s="1">
        <f t="shared" si="110"/>
        <v>1.8064047347257079E-8</v>
      </c>
      <c r="X778" s="1"/>
      <c r="AC778" s="1">
        <f>'[105]Tsuda&amp;Tyree_2000_Fig1'!D5</f>
        <v>3.0106745578761799E-7</v>
      </c>
      <c r="AI778">
        <f t="shared" si="111"/>
        <v>0.06</v>
      </c>
      <c r="AK778" t="s">
        <v>44</v>
      </c>
    </row>
    <row r="779" spans="1:37" hidden="1" x14ac:dyDescent="0.25">
      <c r="A779" t="s">
        <v>295</v>
      </c>
      <c r="B779" t="s">
        <v>296</v>
      </c>
      <c r="C779" t="s">
        <v>33</v>
      </c>
      <c r="D779" t="s">
        <v>34</v>
      </c>
      <c r="E779" t="s">
        <v>17</v>
      </c>
      <c r="F779" t="s">
        <v>614</v>
      </c>
      <c r="G779" t="s">
        <v>614</v>
      </c>
      <c r="H779" t="s">
        <v>801</v>
      </c>
      <c r="I779" t="s">
        <v>804</v>
      </c>
      <c r="J779">
        <f t="shared" si="109"/>
        <v>30</v>
      </c>
      <c r="K779" t="s">
        <v>742</v>
      </c>
      <c r="L779" t="s">
        <v>483</v>
      </c>
      <c r="M779" t="s">
        <v>707</v>
      </c>
      <c r="R779" t="s">
        <v>408</v>
      </c>
      <c r="S779" t="s">
        <v>701</v>
      </c>
      <c r="T779" t="s">
        <v>695</v>
      </c>
      <c r="U779" t="s">
        <v>609</v>
      </c>
      <c r="V779" s="1" t="s">
        <v>733</v>
      </c>
      <c r="W779" s="1">
        <f t="shared" si="110"/>
        <v>9.2263928980217402E-9</v>
      </c>
      <c r="X779" s="1"/>
      <c r="AC779" s="1">
        <f>'[105]Tsuda&amp;Tyree_2000_Fig1'!D6</f>
        <v>1.53773214967029E-7</v>
      </c>
      <c r="AI779">
        <f t="shared" si="111"/>
        <v>0.06</v>
      </c>
      <c r="AK779" t="s">
        <v>44</v>
      </c>
    </row>
    <row r="780" spans="1:37" hidden="1" x14ac:dyDescent="0.25">
      <c r="A780" t="s">
        <v>295</v>
      </c>
      <c r="B780" t="s">
        <v>98</v>
      </c>
      <c r="C780" t="s">
        <v>99</v>
      </c>
      <c r="D780" t="s">
        <v>89</v>
      </c>
      <c r="E780" t="s">
        <v>17</v>
      </c>
      <c r="F780" t="s">
        <v>618</v>
      </c>
      <c r="G780" t="s">
        <v>618</v>
      </c>
      <c r="H780" t="s">
        <v>801</v>
      </c>
      <c r="I780" t="s">
        <v>804</v>
      </c>
      <c r="J780">
        <f t="shared" si="109"/>
        <v>30</v>
      </c>
      <c r="K780" t="s">
        <v>742</v>
      </c>
      <c r="L780" t="s">
        <v>484</v>
      </c>
      <c r="M780" t="s">
        <v>707</v>
      </c>
      <c r="R780" t="s">
        <v>408</v>
      </c>
      <c r="S780" t="s">
        <v>701</v>
      </c>
      <c r="T780" t="s">
        <v>695</v>
      </c>
      <c r="U780" t="s">
        <v>609</v>
      </c>
      <c r="V780" s="1" t="s">
        <v>733</v>
      </c>
      <c r="W780" s="1">
        <f t="shared" si="110"/>
        <v>7.4531036545190992E-9</v>
      </c>
      <c r="X780" s="1"/>
      <c r="AC780" s="1">
        <f>'[105]Tsuda&amp;Tyree_2000_Fig1'!D7</f>
        <v>1.2421839424198499E-7</v>
      </c>
      <c r="AI780">
        <f t="shared" si="111"/>
        <v>0.06</v>
      </c>
      <c r="AK780" t="s">
        <v>44</v>
      </c>
    </row>
    <row r="781" spans="1:37" hidden="1" x14ac:dyDescent="0.25">
      <c r="A781" t="s">
        <v>295</v>
      </c>
      <c r="B781" t="s">
        <v>98</v>
      </c>
      <c r="C781" t="s">
        <v>99</v>
      </c>
      <c r="D781" t="s">
        <v>89</v>
      </c>
      <c r="E781" t="s">
        <v>17</v>
      </c>
      <c r="F781" t="s">
        <v>618</v>
      </c>
      <c r="G781" t="s">
        <v>618</v>
      </c>
      <c r="H781" t="s">
        <v>801</v>
      </c>
      <c r="I781" t="s">
        <v>804</v>
      </c>
      <c r="J781">
        <f t="shared" si="109"/>
        <v>30</v>
      </c>
      <c r="K781" t="s">
        <v>742</v>
      </c>
      <c r="L781" t="s">
        <v>484</v>
      </c>
      <c r="M781" t="s">
        <v>707</v>
      </c>
      <c r="R781" t="s">
        <v>408</v>
      </c>
      <c r="S781" t="s">
        <v>701</v>
      </c>
      <c r="T781" t="s">
        <v>695</v>
      </c>
      <c r="U781" t="s">
        <v>609</v>
      </c>
      <c r="V781" s="1" t="s">
        <v>733</v>
      </c>
      <c r="W781" s="1">
        <f t="shared" si="110"/>
        <v>7.3223863801237781E-9</v>
      </c>
      <c r="X781" s="1"/>
      <c r="AC781" s="1">
        <f>'[105]Tsuda&amp;Tyree_2000_Fig1'!D8</f>
        <v>1.2203977300206297E-7</v>
      </c>
      <c r="AI781">
        <f t="shared" si="111"/>
        <v>0.06</v>
      </c>
      <c r="AK781" t="s">
        <v>44</v>
      </c>
    </row>
    <row r="782" spans="1:37" hidden="1" x14ac:dyDescent="0.25">
      <c r="A782" t="s">
        <v>295</v>
      </c>
      <c r="B782" t="s">
        <v>63</v>
      </c>
      <c r="C782" t="s">
        <v>64</v>
      </c>
      <c r="D782" t="s">
        <v>65</v>
      </c>
      <c r="E782" t="s">
        <v>17</v>
      </c>
      <c r="F782" t="s">
        <v>614</v>
      </c>
      <c r="G782" t="s">
        <v>614</v>
      </c>
      <c r="H782" t="s">
        <v>801</v>
      </c>
      <c r="I782" t="s">
        <v>804</v>
      </c>
      <c r="J782">
        <f t="shared" si="109"/>
        <v>30</v>
      </c>
      <c r="K782" t="s">
        <v>742</v>
      </c>
      <c r="L782" t="s">
        <v>484</v>
      </c>
      <c r="M782" t="s">
        <v>707</v>
      </c>
      <c r="R782" t="s">
        <v>408</v>
      </c>
      <c r="S782" t="s">
        <v>701</v>
      </c>
      <c r="T782" t="s">
        <v>695</v>
      </c>
      <c r="U782" t="s">
        <v>609</v>
      </c>
      <c r="V782" s="1" t="s">
        <v>733</v>
      </c>
      <c r="W782" s="1">
        <f t="shared" si="110"/>
        <v>1.3033468881776518E-8</v>
      </c>
      <c r="X782" s="1"/>
      <c r="AC782" s="1">
        <f>'[105]Tsuda&amp;Tyree_2000_Fig1'!D9</f>
        <v>2.1722448136294198E-7</v>
      </c>
      <c r="AI782">
        <f t="shared" si="111"/>
        <v>0.06</v>
      </c>
      <c r="AK782" t="s">
        <v>44</v>
      </c>
    </row>
    <row r="783" spans="1:37" hidden="1" x14ac:dyDescent="0.25">
      <c r="A783" t="s">
        <v>295</v>
      </c>
      <c r="B783" t="s">
        <v>220</v>
      </c>
      <c r="C783" t="s">
        <v>221</v>
      </c>
      <c r="D783" t="s">
        <v>89</v>
      </c>
      <c r="E783" t="s">
        <v>17</v>
      </c>
      <c r="F783" t="s">
        <v>618</v>
      </c>
      <c r="G783" t="s">
        <v>618</v>
      </c>
      <c r="H783" t="s">
        <v>801</v>
      </c>
      <c r="I783" t="s">
        <v>804</v>
      </c>
      <c r="J783">
        <f t="shared" si="109"/>
        <v>30</v>
      </c>
      <c r="K783" t="s">
        <v>742</v>
      </c>
      <c r="L783" t="s">
        <v>484</v>
      </c>
      <c r="M783" t="s">
        <v>707</v>
      </c>
      <c r="R783" t="s">
        <v>408</v>
      </c>
      <c r="S783" t="s">
        <v>701</v>
      </c>
      <c r="T783" t="s">
        <v>695</v>
      </c>
      <c r="U783" t="s">
        <v>609</v>
      </c>
      <c r="V783" s="1" t="s">
        <v>733</v>
      </c>
      <c r="W783" s="1">
        <f t="shared" si="110"/>
        <v>9.526512451848E-9</v>
      </c>
      <c r="X783" s="1"/>
      <c r="AC783" s="1">
        <f>'[105]Tsuda&amp;Tyree_2000_Fig1'!D10</f>
        <v>1.587752075308E-7</v>
      </c>
      <c r="AI783">
        <f t="shared" si="111"/>
        <v>0.06</v>
      </c>
      <c r="AK783" t="s">
        <v>44</v>
      </c>
    </row>
    <row r="784" spans="1:37" hidden="1" x14ac:dyDescent="0.25">
      <c r="A784" t="s">
        <v>295</v>
      </c>
      <c r="B784" t="s">
        <v>32</v>
      </c>
      <c r="C784" t="s">
        <v>33</v>
      </c>
      <c r="D784" t="s">
        <v>34</v>
      </c>
      <c r="E784" t="s">
        <v>17</v>
      </c>
      <c r="F784" t="s">
        <v>614</v>
      </c>
      <c r="G784" t="s">
        <v>614</v>
      </c>
      <c r="H784" t="s">
        <v>801</v>
      </c>
      <c r="I784" t="s">
        <v>804</v>
      </c>
      <c r="J784">
        <f t="shared" si="109"/>
        <v>30</v>
      </c>
      <c r="K784" t="s">
        <v>742</v>
      </c>
      <c r="L784" t="s">
        <v>484</v>
      </c>
      <c r="M784" t="s">
        <v>707</v>
      </c>
      <c r="R784" t="s">
        <v>408</v>
      </c>
      <c r="S784" t="s">
        <v>701</v>
      </c>
      <c r="T784" t="s">
        <v>695</v>
      </c>
      <c r="U784" t="s">
        <v>609</v>
      </c>
      <c r="V784" s="1" t="s">
        <v>733</v>
      </c>
      <c r="W784" s="1">
        <f t="shared" si="110"/>
        <v>1.4802591505734358E-8</v>
      </c>
      <c r="X784" s="1"/>
      <c r="AC784" s="1">
        <f>'[105]Tsuda&amp;Tyree_2000_Fig1'!D11</f>
        <v>2.4670985842890596E-7</v>
      </c>
      <c r="AI784">
        <f t="shared" si="111"/>
        <v>0.06</v>
      </c>
      <c r="AK784" t="s">
        <v>44</v>
      </c>
    </row>
    <row r="785" spans="1:37" hidden="1" x14ac:dyDescent="0.25">
      <c r="A785" t="s">
        <v>295</v>
      </c>
      <c r="B785" t="s">
        <v>297</v>
      </c>
      <c r="C785" t="s">
        <v>298</v>
      </c>
      <c r="D785" t="s">
        <v>34</v>
      </c>
      <c r="E785" t="s">
        <v>17</v>
      </c>
      <c r="F785" t="s">
        <v>614</v>
      </c>
      <c r="G785" t="s">
        <v>614</v>
      </c>
      <c r="H785" t="s">
        <v>801</v>
      </c>
      <c r="I785" t="s">
        <v>804</v>
      </c>
      <c r="J785">
        <f t="shared" si="109"/>
        <v>30</v>
      </c>
      <c r="K785" t="s">
        <v>742</v>
      </c>
      <c r="L785" t="s">
        <v>484</v>
      </c>
      <c r="M785" t="s">
        <v>707</v>
      </c>
      <c r="R785" t="s">
        <v>408</v>
      </c>
      <c r="S785" t="s">
        <v>701</v>
      </c>
      <c r="T785" t="s">
        <v>695</v>
      </c>
      <c r="U785" t="s">
        <v>609</v>
      </c>
      <c r="V785" s="1" t="s">
        <v>733</v>
      </c>
      <c r="W785" s="1">
        <f t="shared" si="110"/>
        <v>8.7948553488248391E-9</v>
      </c>
      <c r="X785" s="1"/>
      <c r="AC785" s="1">
        <f>'[105]Tsuda&amp;Tyree_2000_Fig1'!D12</f>
        <v>1.46580922480414E-7</v>
      </c>
      <c r="AI785">
        <f t="shared" si="111"/>
        <v>0.06</v>
      </c>
      <c r="AK785" t="s">
        <v>44</v>
      </c>
    </row>
    <row r="786" spans="1:37" hidden="1" x14ac:dyDescent="0.25">
      <c r="A786" t="s">
        <v>295</v>
      </c>
      <c r="B786" t="s">
        <v>296</v>
      </c>
      <c r="C786" t="s">
        <v>33</v>
      </c>
      <c r="D786" t="s">
        <v>34</v>
      </c>
      <c r="E786" t="s">
        <v>17</v>
      </c>
      <c r="F786" t="s">
        <v>614</v>
      </c>
      <c r="G786" t="s">
        <v>614</v>
      </c>
      <c r="H786" t="s">
        <v>801</v>
      </c>
      <c r="I786" t="s">
        <v>804</v>
      </c>
      <c r="J786">
        <f t="shared" si="109"/>
        <v>30</v>
      </c>
      <c r="K786" t="s">
        <v>742</v>
      </c>
      <c r="L786" t="s">
        <v>484</v>
      </c>
      <c r="M786" t="s">
        <v>707</v>
      </c>
      <c r="R786" t="s">
        <v>408</v>
      </c>
      <c r="S786" t="s">
        <v>701</v>
      </c>
      <c r="T786" t="s">
        <v>695</v>
      </c>
      <c r="U786" t="s">
        <v>609</v>
      </c>
      <c r="V786" s="1" t="s">
        <v>733</v>
      </c>
      <c r="W786" s="1">
        <f t="shared" si="110"/>
        <v>6.1002488466899995E-9</v>
      </c>
      <c r="X786" s="1"/>
      <c r="AC786" s="1">
        <f>'[105]Tsuda&amp;Tyree_2000_Fig1'!D13</f>
        <v>1.016708141115E-7</v>
      </c>
      <c r="AI786">
        <f t="shared" si="111"/>
        <v>0.06</v>
      </c>
      <c r="AK786" t="s">
        <v>44</v>
      </c>
    </row>
    <row r="787" spans="1:37" hidden="1" x14ac:dyDescent="0.25">
      <c r="A787" t="s">
        <v>295</v>
      </c>
      <c r="B787" t="s">
        <v>220</v>
      </c>
      <c r="C787" t="s">
        <v>221</v>
      </c>
      <c r="D787" t="s">
        <v>89</v>
      </c>
      <c r="E787" t="s">
        <v>17</v>
      </c>
      <c r="F787" t="s">
        <v>618</v>
      </c>
      <c r="G787" t="s">
        <v>618</v>
      </c>
      <c r="H787" t="s">
        <v>801</v>
      </c>
      <c r="I787" t="s">
        <v>804</v>
      </c>
      <c r="J787">
        <f t="shared" si="109"/>
        <v>30</v>
      </c>
      <c r="K787" t="s">
        <v>742</v>
      </c>
      <c r="L787" t="s">
        <v>484</v>
      </c>
      <c r="M787" t="s">
        <v>707</v>
      </c>
      <c r="R787" t="s">
        <v>408</v>
      </c>
      <c r="S787" t="s">
        <v>701</v>
      </c>
      <c r="T787" t="s">
        <v>695</v>
      </c>
      <c r="U787" t="s">
        <v>609</v>
      </c>
      <c r="V787" s="1" t="s">
        <v>733</v>
      </c>
      <c r="W787" s="1">
        <f t="shared" si="110"/>
        <v>4.2067551441308994E-9</v>
      </c>
      <c r="X787" s="1"/>
      <c r="AC787" s="1">
        <f>'[105]Tsuda&amp;Tyree_2000_Fig1'!D14</f>
        <v>7.0112585735514989E-8</v>
      </c>
      <c r="AI787">
        <f t="shared" si="111"/>
        <v>0.06</v>
      </c>
      <c r="AK787" t="s">
        <v>44</v>
      </c>
    </row>
    <row r="788" spans="1:37" hidden="1" x14ac:dyDescent="0.25">
      <c r="A788" t="s">
        <v>299</v>
      </c>
      <c r="B788" t="s">
        <v>170</v>
      </c>
      <c r="C788" t="s">
        <v>139</v>
      </c>
      <c r="D788" t="s">
        <v>140</v>
      </c>
      <c r="E788" t="s">
        <v>17</v>
      </c>
      <c r="F788" t="s">
        <v>23</v>
      </c>
      <c r="G788" t="s">
        <v>617</v>
      </c>
      <c r="H788" t="s">
        <v>760</v>
      </c>
      <c r="I788" t="s">
        <v>705</v>
      </c>
      <c r="J788">
        <f>2*365+22*30</f>
        <v>1390</v>
      </c>
      <c r="K788" s="6" t="s">
        <v>209</v>
      </c>
      <c r="L788" t="s">
        <v>349</v>
      </c>
      <c r="M788" t="s">
        <v>707</v>
      </c>
      <c r="R788" t="s">
        <v>408</v>
      </c>
      <c r="S788" t="s">
        <v>701</v>
      </c>
      <c r="T788" t="s">
        <v>695</v>
      </c>
      <c r="U788" t="s">
        <v>609</v>
      </c>
      <c r="V788" s="1" t="s">
        <v>733</v>
      </c>
      <c r="W788" s="1">
        <f t="shared" ref="W788:W805" si="112">+AB788*AD788/10000</f>
        <v>8.6762000000000005E-10</v>
      </c>
      <c r="X788" s="1"/>
      <c r="AB788" s="1">
        <f>9.4*0.00000001</f>
        <v>9.4000000000000008E-8</v>
      </c>
      <c r="AC788" s="1">
        <v>3.7E-8</v>
      </c>
      <c r="AD788">
        <v>92.3</v>
      </c>
      <c r="AF788">
        <v>1.25</v>
      </c>
      <c r="AH788" s="2">
        <v>0.193</v>
      </c>
      <c r="AI788" s="5">
        <f>194/10000</f>
        <v>1.9400000000000001E-2</v>
      </c>
      <c r="AK788" t="s">
        <v>44</v>
      </c>
    </row>
    <row r="789" spans="1:37" hidden="1" x14ac:dyDescent="0.25">
      <c r="A789" t="s">
        <v>299</v>
      </c>
      <c r="B789" t="s">
        <v>170</v>
      </c>
      <c r="C789" t="s">
        <v>139</v>
      </c>
      <c r="D789" t="s">
        <v>140</v>
      </c>
      <c r="E789" t="s">
        <v>17</v>
      </c>
      <c r="F789" t="s">
        <v>23</v>
      </c>
      <c r="G789" t="s">
        <v>617</v>
      </c>
      <c r="H789" t="s">
        <v>760</v>
      </c>
      <c r="I789" t="s">
        <v>705</v>
      </c>
      <c r="J789">
        <f>2*365+22*30</f>
        <v>1390</v>
      </c>
      <c r="K789" s="6" t="s">
        <v>209</v>
      </c>
      <c r="L789" t="s">
        <v>210</v>
      </c>
      <c r="M789" t="s">
        <v>707</v>
      </c>
      <c r="R789" t="s">
        <v>408</v>
      </c>
      <c r="S789" t="s">
        <v>701</v>
      </c>
      <c r="T789" t="s">
        <v>695</v>
      </c>
      <c r="U789" t="s">
        <v>609</v>
      </c>
      <c r="V789" s="1" t="s">
        <v>733</v>
      </c>
      <c r="W789" s="1">
        <f t="shared" si="112"/>
        <v>7.9488000000000005E-10</v>
      </c>
      <c r="X789" s="1"/>
      <c r="AB789" s="1">
        <f>21.6*0.00000001</f>
        <v>2.1600000000000003E-7</v>
      </c>
      <c r="AC789" s="1">
        <v>2.9000000000000002E-8</v>
      </c>
      <c r="AD789">
        <v>36.799999999999997</v>
      </c>
      <c r="AF789">
        <v>0.5</v>
      </c>
      <c r="AH789" s="2">
        <v>0.16700000000000001</v>
      </c>
      <c r="AI789" s="5">
        <f>181/10000</f>
        <v>1.8100000000000002E-2</v>
      </c>
      <c r="AK789" t="s">
        <v>44</v>
      </c>
    </row>
    <row r="790" spans="1:37" hidden="1" x14ac:dyDescent="0.25">
      <c r="A790" t="s">
        <v>388</v>
      </c>
      <c r="B790" t="s">
        <v>50</v>
      </c>
      <c r="C790" t="s">
        <v>51</v>
      </c>
      <c r="D790" t="s">
        <v>16</v>
      </c>
      <c r="E790" t="s">
        <v>29</v>
      </c>
      <c r="F790" t="s">
        <v>30</v>
      </c>
      <c r="G790" t="s">
        <v>30</v>
      </c>
      <c r="H790" t="s">
        <v>30</v>
      </c>
      <c r="I790" t="s">
        <v>704</v>
      </c>
      <c r="J790">
        <f t="shared" ref="J790:J801" si="113">7+4</f>
        <v>11</v>
      </c>
      <c r="K790" t="s">
        <v>738</v>
      </c>
      <c r="L790" t="s">
        <v>163</v>
      </c>
      <c r="M790" t="s">
        <v>707</v>
      </c>
      <c r="R790" t="s">
        <v>407</v>
      </c>
      <c r="S790" t="s">
        <v>701</v>
      </c>
      <c r="T790" t="s">
        <v>695</v>
      </c>
      <c r="U790" t="s">
        <v>609</v>
      </c>
      <c r="V790" s="1" t="s">
        <v>733</v>
      </c>
      <c r="W790" s="1">
        <f t="shared" si="112"/>
        <v>1.65E-10</v>
      </c>
      <c r="X790" s="1"/>
      <c r="AB790" s="1">
        <v>4.9999999999999998E-8</v>
      </c>
      <c r="AD790" s="3">
        <f>+AVERAGE(0.0025,0.0041)*10000</f>
        <v>33</v>
      </c>
      <c r="AK790" t="s">
        <v>198</v>
      </c>
    </row>
    <row r="791" spans="1:37" hidden="1" x14ac:dyDescent="0.25">
      <c r="A791" t="s">
        <v>388</v>
      </c>
      <c r="B791" t="s">
        <v>50</v>
      </c>
      <c r="C791" t="s">
        <v>51</v>
      </c>
      <c r="D791" t="s">
        <v>16</v>
      </c>
      <c r="E791" t="s">
        <v>29</v>
      </c>
      <c r="F791" t="s">
        <v>30</v>
      </c>
      <c r="G791" t="s">
        <v>30</v>
      </c>
      <c r="H791" t="s">
        <v>30</v>
      </c>
      <c r="I791" t="s">
        <v>704</v>
      </c>
      <c r="J791">
        <f t="shared" si="113"/>
        <v>11</v>
      </c>
      <c r="K791" t="s">
        <v>738</v>
      </c>
      <c r="L791" t="s">
        <v>163</v>
      </c>
      <c r="M791" t="s">
        <v>707</v>
      </c>
      <c r="R791" t="s">
        <v>408</v>
      </c>
      <c r="S791" t="s">
        <v>701</v>
      </c>
      <c r="T791" t="s">
        <v>695</v>
      </c>
      <c r="U791" t="s">
        <v>609</v>
      </c>
      <c r="V791" s="1" t="s">
        <v>733</v>
      </c>
      <c r="W791" s="1">
        <f t="shared" si="112"/>
        <v>6.6E-10</v>
      </c>
      <c r="X791" s="1"/>
      <c r="AB791" s="1">
        <v>1.9999999999999999E-7</v>
      </c>
      <c r="AD791" s="3">
        <f>+AVERAGE(0.0025,0.0041)*10000</f>
        <v>33</v>
      </c>
      <c r="AK791" t="s">
        <v>198</v>
      </c>
    </row>
    <row r="792" spans="1:37" hidden="1" x14ac:dyDescent="0.25">
      <c r="A792" t="s">
        <v>388</v>
      </c>
      <c r="B792" t="s">
        <v>50</v>
      </c>
      <c r="C792" t="s">
        <v>51</v>
      </c>
      <c r="D792" t="s">
        <v>16</v>
      </c>
      <c r="E792" t="s">
        <v>29</v>
      </c>
      <c r="F792" t="s">
        <v>30</v>
      </c>
      <c r="G792" t="s">
        <v>30</v>
      </c>
      <c r="H792" t="s">
        <v>30</v>
      </c>
      <c r="I792" t="s">
        <v>704</v>
      </c>
      <c r="J792">
        <f t="shared" si="113"/>
        <v>11</v>
      </c>
      <c r="K792" t="s">
        <v>738</v>
      </c>
      <c r="L792" t="s">
        <v>163</v>
      </c>
      <c r="M792" t="s">
        <v>707</v>
      </c>
      <c r="R792" t="s">
        <v>409</v>
      </c>
      <c r="S792" t="s">
        <v>701</v>
      </c>
      <c r="T792" t="s">
        <v>695</v>
      </c>
      <c r="U792" t="s">
        <v>609</v>
      </c>
      <c r="V792" s="1" t="s">
        <v>733</v>
      </c>
      <c r="W792" s="1">
        <f t="shared" si="112"/>
        <v>1.4849999999999999E-9</v>
      </c>
      <c r="X792" s="1"/>
      <c r="AB792" s="1">
        <v>4.4999999999999998E-7</v>
      </c>
      <c r="AD792" s="3">
        <f>+AVERAGE(0.0025,0.0041)*10000</f>
        <v>33</v>
      </c>
      <c r="AK792" t="s">
        <v>198</v>
      </c>
    </row>
    <row r="793" spans="1:37" hidden="1" x14ac:dyDescent="0.25">
      <c r="A793" t="s">
        <v>388</v>
      </c>
      <c r="B793" t="s">
        <v>50</v>
      </c>
      <c r="C793" t="s">
        <v>51</v>
      </c>
      <c r="D793" t="s">
        <v>16</v>
      </c>
      <c r="E793" t="s">
        <v>29</v>
      </c>
      <c r="F793" t="s">
        <v>30</v>
      </c>
      <c r="G793" t="s">
        <v>30</v>
      </c>
      <c r="H793" t="s">
        <v>30</v>
      </c>
      <c r="I793" t="s">
        <v>704</v>
      </c>
      <c r="J793">
        <f t="shared" si="113"/>
        <v>11</v>
      </c>
      <c r="K793" t="s">
        <v>738</v>
      </c>
      <c r="L793" t="s">
        <v>462</v>
      </c>
      <c r="M793" t="s">
        <v>707</v>
      </c>
      <c r="R793" t="s">
        <v>407</v>
      </c>
      <c r="S793" t="s">
        <v>701</v>
      </c>
      <c r="T793" t="s">
        <v>695</v>
      </c>
      <c r="U793" t="s">
        <v>609</v>
      </c>
      <c r="V793" s="1" t="s">
        <v>733</v>
      </c>
      <c r="W793" s="1">
        <f t="shared" si="112"/>
        <v>4.0249999999999985E-10</v>
      </c>
      <c r="X793" s="1"/>
      <c r="AB793" s="1">
        <v>2.2999999999999997E-7</v>
      </c>
      <c r="AD793" s="3">
        <f>+AVERAGE(0.0014,0.0021)*10000</f>
        <v>17.499999999999996</v>
      </c>
      <c r="AK793" t="s">
        <v>198</v>
      </c>
    </row>
    <row r="794" spans="1:37" hidden="1" x14ac:dyDescent="0.25">
      <c r="A794" t="s">
        <v>388</v>
      </c>
      <c r="B794" t="s">
        <v>50</v>
      </c>
      <c r="C794" t="s">
        <v>51</v>
      </c>
      <c r="D794" t="s">
        <v>16</v>
      </c>
      <c r="E794" t="s">
        <v>29</v>
      </c>
      <c r="F794" t="s">
        <v>30</v>
      </c>
      <c r="G794" t="s">
        <v>30</v>
      </c>
      <c r="H794" t="s">
        <v>30</v>
      </c>
      <c r="I794" t="s">
        <v>704</v>
      </c>
      <c r="J794">
        <f t="shared" si="113"/>
        <v>11</v>
      </c>
      <c r="K794" t="s">
        <v>738</v>
      </c>
      <c r="L794" t="s">
        <v>462</v>
      </c>
      <c r="M794" t="s">
        <v>707</v>
      </c>
      <c r="R794" t="s">
        <v>408</v>
      </c>
      <c r="S794" t="s">
        <v>701</v>
      </c>
      <c r="T794" t="s">
        <v>695</v>
      </c>
      <c r="U794" t="s">
        <v>609</v>
      </c>
      <c r="V794" s="1" t="s">
        <v>733</v>
      </c>
      <c r="W794" s="1">
        <f t="shared" si="112"/>
        <v>7.3499999999999984E-10</v>
      </c>
      <c r="X794" s="1"/>
      <c r="AB794" s="1">
        <v>4.2E-7</v>
      </c>
      <c r="AD794" s="3">
        <f>+AVERAGE(0.0014,0.0021)*10000</f>
        <v>17.499999999999996</v>
      </c>
      <c r="AK794" t="s">
        <v>198</v>
      </c>
    </row>
    <row r="795" spans="1:37" hidden="1" x14ac:dyDescent="0.25">
      <c r="A795" t="s">
        <v>388</v>
      </c>
      <c r="B795" t="s">
        <v>50</v>
      </c>
      <c r="C795" t="s">
        <v>51</v>
      </c>
      <c r="D795" t="s">
        <v>16</v>
      </c>
      <c r="E795" t="s">
        <v>29</v>
      </c>
      <c r="F795" t="s">
        <v>30</v>
      </c>
      <c r="G795" t="s">
        <v>30</v>
      </c>
      <c r="H795" t="s">
        <v>30</v>
      </c>
      <c r="I795" t="s">
        <v>704</v>
      </c>
      <c r="J795">
        <f t="shared" si="113"/>
        <v>11</v>
      </c>
      <c r="K795" t="s">
        <v>738</v>
      </c>
      <c r="L795" t="s">
        <v>462</v>
      </c>
      <c r="M795" t="s">
        <v>707</v>
      </c>
      <c r="R795" t="s">
        <v>409</v>
      </c>
      <c r="S795" t="s">
        <v>701</v>
      </c>
      <c r="T795" t="s">
        <v>695</v>
      </c>
      <c r="U795" t="s">
        <v>609</v>
      </c>
      <c r="V795" s="1" t="s">
        <v>733</v>
      </c>
      <c r="W795" s="1">
        <f t="shared" si="112"/>
        <v>1.1374999999999996E-9</v>
      </c>
      <c r="X795" s="1"/>
      <c r="AB795" s="1">
        <v>6.4999999999999992E-7</v>
      </c>
      <c r="AD795" s="3">
        <f>+AVERAGE(0.0014,0.0021)*10000</f>
        <v>17.499999999999996</v>
      </c>
      <c r="AK795" t="s">
        <v>198</v>
      </c>
    </row>
    <row r="796" spans="1:37" hidden="1" x14ac:dyDescent="0.25">
      <c r="A796" t="s">
        <v>388</v>
      </c>
      <c r="B796" t="s">
        <v>50</v>
      </c>
      <c r="C796" t="s">
        <v>51</v>
      </c>
      <c r="D796" t="s">
        <v>16</v>
      </c>
      <c r="E796" t="s">
        <v>29</v>
      </c>
      <c r="F796" t="s">
        <v>30</v>
      </c>
      <c r="G796" t="s">
        <v>30</v>
      </c>
      <c r="H796" t="s">
        <v>30</v>
      </c>
      <c r="I796" t="s">
        <v>704</v>
      </c>
      <c r="J796">
        <f t="shared" si="113"/>
        <v>11</v>
      </c>
      <c r="K796" t="s">
        <v>738</v>
      </c>
      <c r="L796" t="s">
        <v>163</v>
      </c>
      <c r="M796" t="s">
        <v>707</v>
      </c>
      <c r="R796" t="s">
        <v>407</v>
      </c>
      <c r="S796" t="s">
        <v>701</v>
      </c>
      <c r="T796" t="s">
        <v>695</v>
      </c>
      <c r="U796" t="s">
        <v>610</v>
      </c>
      <c r="V796" s="1" t="s">
        <v>733</v>
      </c>
      <c r="W796" s="1">
        <f t="shared" si="112"/>
        <v>6.600000000000001E-12</v>
      </c>
      <c r="X796" s="1"/>
      <c r="AB796" s="1">
        <v>2.0000000000000001E-9</v>
      </c>
      <c r="AD796" s="3">
        <f>+AVERAGE(0.0025,0.0041)*10000</f>
        <v>33</v>
      </c>
      <c r="AK796" t="s">
        <v>198</v>
      </c>
    </row>
    <row r="797" spans="1:37" hidden="1" x14ac:dyDescent="0.25">
      <c r="A797" t="s">
        <v>388</v>
      </c>
      <c r="B797" t="s">
        <v>50</v>
      </c>
      <c r="C797" t="s">
        <v>51</v>
      </c>
      <c r="D797" t="s">
        <v>16</v>
      </c>
      <c r="E797" t="s">
        <v>29</v>
      </c>
      <c r="F797" t="s">
        <v>30</v>
      </c>
      <c r="G797" t="s">
        <v>30</v>
      </c>
      <c r="H797" t="s">
        <v>30</v>
      </c>
      <c r="I797" t="s">
        <v>704</v>
      </c>
      <c r="J797">
        <f t="shared" si="113"/>
        <v>11</v>
      </c>
      <c r="K797" t="s">
        <v>738</v>
      </c>
      <c r="L797" t="s">
        <v>163</v>
      </c>
      <c r="M797" t="s">
        <v>707</v>
      </c>
      <c r="R797" t="s">
        <v>408</v>
      </c>
      <c r="S797" t="s">
        <v>701</v>
      </c>
      <c r="T797" t="s">
        <v>695</v>
      </c>
      <c r="U797" t="s">
        <v>610</v>
      </c>
      <c r="V797" s="1" t="s">
        <v>733</v>
      </c>
      <c r="W797" s="1">
        <f t="shared" si="112"/>
        <v>5.2800000000000008E-11</v>
      </c>
      <c r="X797" s="1"/>
      <c r="AB797" s="1">
        <v>1.6000000000000001E-8</v>
      </c>
      <c r="AD797" s="3">
        <f>+AVERAGE(0.0025,0.0041)*10000</f>
        <v>33</v>
      </c>
      <c r="AK797" t="s">
        <v>198</v>
      </c>
    </row>
    <row r="798" spans="1:37" hidden="1" x14ac:dyDescent="0.25">
      <c r="A798" t="s">
        <v>388</v>
      </c>
      <c r="B798" t="s">
        <v>50</v>
      </c>
      <c r="C798" t="s">
        <v>51</v>
      </c>
      <c r="D798" t="s">
        <v>16</v>
      </c>
      <c r="E798" t="s">
        <v>29</v>
      </c>
      <c r="F798" t="s">
        <v>30</v>
      </c>
      <c r="G798" t="s">
        <v>30</v>
      </c>
      <c r="H798" t="s">
        <v>30</v>
      </c>
      <c r="I798" t="s">
        <v>704</v>
      </c>
      <c r="J798">
        <f t="shared" si="113"/>
        <v>11</v>
      </c>
      <c r="K798" t="s">
        <v>738</v>
      </c>
      <c r="L798" t="s">
        <v>163</v>
      </c>
      <c r="M798" t="s">
        <v>707</v>
      </c>
      <c r="R798" t="s">
        <v>409</v>
      </c>
      <c r="S798" t="s">
        <v>701</v>
      </c>
      <c r="T798" t="s">
        <v>695</v>
      </c>
      <c r="U798" t="s">
        <v>610</v>
      </c>
      <c r="V798" s="1" t="s">
        <v>733</v>
      </c>
      <c r="W798" s="1">
        <f t="shared" si="112"/>
        <v>9.8999999999999981E-11</v>
      </c>
      <c r="X798" s="1"/>
      <c r="AB798" s="1">
        <v>2.9999999999999997E-8</v>
      </c>
      <c r="AD798" s="3">
        <f>+AVERAGE(0.0025,0.0041)*10000</f>
        <v>33</v>
      </c>
      <c r="AK798" t="s">
        <v>198</v>
      </c>
    </row>
    <row r="799" spans="1:37" hidden="1" x14ac:dyDescent="0.25">
      <c r="A799" t="s">
        <v>388</v>
      </c>
      <c r="B799" t="s">
        <v>50</v>
      </c>
      <c r="C799" t="s">
        <v>51</v>
      </c>
      <c r="D799" t="s">
        <v>16</v>
      </c>
      <c r="E799" t="s">
        <v>29</v>
      </c>
      <c r="F799" t="s">
        <v>30</v>
      </c>
      <c r="G799" t="s">
        <v>30</v>
      </c>
      <c r="H799" t="s">
        <v>30</v>
      </c>
      <c r="I799" t="s">
        <v>704</v>
      </c>
      <c r="J799">
        <f t="shared" si="113"/>
        <v>11</v>
      </c>
      <c r="K799" t="s">
        <v>738</v>
      </c>
      <c r="L799" t="s">
        <v>462</v>
      </c>
      <c r="M799" t="s">
        <v>707</v>
      </c>
      <c r="R799" t="s">
        <v>407</v>
      </c>
      <c r="S799" t="s">
        <v>701</v>
      </c>
      <c r="T799" t="s">
        <v>695</v>
      </c>
      <c r="U799" t="s">
        <v>610</v>
      </c>
      <c r="V799" s="1" t="s">
        <v>733</v>
      </c>
      <c r="W799" s="1">
        <f t="shared" si="112"/>
        <v>3.849999999999999E-11</v>
      </c>
      <c r="X799" s="1"/>
      <c r="AB799" s="1">
        <v>2.1999999999999998E-8</v>
      </c>
      <c r="AD799" s="3">
        <f>+AVERAGE(0.0014,0.0021)*10000</f>
        <v>17.499999999999996</v>
      </c>
      <c r="AK799" t="s">
        <v>198</v>
      </c>
    </row>
    <row r="800" spans="1:37" hidden="1" x14ac:dyDescent="0.25">
      <c r="A800" t="s">
        <v>388</v>
      </c>
      <c r="B800" t="s">
        <v>50</v>
      </c>
      <c r="C800" t="s">
        <v>51</v>
      </c>
      <c r="D800" t="s">
        <v>16</v>
      </c>
      <c r="E800" t="s">
        <v>29</v>
      </c>
      <c r="F800" t="s">
        <v>30</v>
      </c>
      <c r="G800" t="s">
        <v>30</v>
      </c>
      <c r="H800" t="s">
        <v>30</v>
      </c>
      <c r="I800" t="s">
        <v>704</v>
      </c>
      <c r="J800">
        <f t="shared" si="113"/>
        <v>11</v>
      </c>
      <c r="K800" t="s">
        <v>738</v>
      </c>
      <c r="L800" t="s">
        <v>462</v>
      </c>
      <c r="M800" t="s">
        <v>707</v>
      </c>
      <c r="R800" t="s">
        <v>408</v>
      </c>
      <c r="S800" t="s">
        <v>701</v>
      </c>
      <c r="T800" t="s">
        <v>695</v>
      </c>
      <c r="U800" t="s">
        <v>610</v>
      </c>
      <c r="V800" s="1" t="s">
        <v>733</v>
      </c>
      <c r="W800" s="1">
        <f t="shared" si="112"/>
        <v>7.699999999999998E-11</v>
      </c>
      <c r="X800" s="1"/>
      <c r="AB800" s="1">
        <v>4.3999999999999997E-8</v>
      </c>
      <c r="AD800" s="3">
        <f>+AVERAGE(0.0014,0.0021)*10000</f>
        <v>17.499999999999996</v>
      </c>
      <c r="AK800" t="s">
        <v>198</v>
      </c>
    </row>
    <row r="801" spans="1:37" hidden="1" x14ac:dyDescent="0.25">
      <c r="A801" t="s">
        <v>388</v>
      </c>
      <c r="B801" t="s">
        <v>50</v>
      </c>
      <c r="C801" t="s">
        <v>51</v>
      </c>
      <c r="D801" t="s">
        <v>16</v>
      </c>
      <c r="E801" t="s">
        <v>29</v>
      </c>
      <c r="F801" t="s">
        <v>30</v>
      </c>
      <c r="G801" t="s">
        <v>30</v>
      </c>
      <c r="H801" t="s">
        <v>30</v>
      </c>
      <c r="I801" t="s">
        <v>704</v>
      </c>
      <c r="J801">
        <f t="shared" si="113"/>
        <v>11</v>
      </c>
      <c r="K801" t="s">
        <v>738</v>
      </c>
      <c r="L801" t="s">
        <v>462</v>
      </c>
      <c r="M801" t="s">
        <v>707</v>
      </c>
      <c r="R801" t="s">
        <v>409</v>
      </c>
      <c r="S801" t="s">
        <v>701</v>
      </c>
      <c r="T801" t="s">
        <v>695</v>
      </c>
      <c r="U801" t="s">
        <v>610</v>
      </c>
      <c r="V801" s="1" t="s">
        <v>733</v>
      </c>
      <c r="W801" s="1">
        <f t="shared" si="112"/>
        <v>1.1899999999999998E-10</v>
      </c>
      <c r="X801" s="1"/>
      <c r="AB801" s="1">
        <v>6.8E-8</v>
      </c>
      <c r="AD801" s="3">
        <f>+AVERAGE(0.0014,0.0021)*10000</f>
        <v>17.499999999999996</v>
      </c>
      <c r="AK801" t="s">
        <v>198</v>
      </c>
    </row>
    <row r="802" spans="1:37" hidden="1" x14ac:dyDescent="0.25">
      <c r="A802" t="s">
        <v>328</v>
      </c>
      <c r="B802" t="s">
        <v>50</v>
      </c>
      <c r="C802" t="s">
        <v>51</v>
      </c>
      <c r="D802" t="s">
        <v>16</v>
      </c>
      <c r="E802" t="s">
        <v>29</v>
      </c>
      <c r="F802" t="s">
        <v>30</v>
      </c>
      <c r="G802" t="s">
        <v>30</v>
      </c>
      <c r="H802" t="s">
        <v>30</v>
      </c>
      <c r="I802" t="s">
        <v>704</v>
      </c>
      <c r="J802">
        <f>4+7</f>
        <v>11</v>
      </c>
      <c r="K802" t="s">
        <v>666</v>
      </c>
      <c r="L802" t="s">
        <v>36</v>
      </c>
      <c r="M802" t="str">
        <f>+IF(L802 = "Control", "Control", "Stress")</f>
        <v>Control</v>
      </c>
      <c r="N802" t="s">
        <v>462</v>
      </c>
      <c r="O802" t="s">
        <v>707</v>
      </c>
      <c r="R802" t="s">
        <v>408</v>
      </c>
      <c r="S802" t="s">
        <v>701</v>
      </c>
      <c r="T802" t="s">
        <v>695</v>
      </c>
      <c r="U802" t="s">
        <v>609</v>
      </c>
      <c r="V802" s="1" t="s">
        <v>733</v>
      </c>
      <c r="W802" s="1">
        <f t="shared" si="112"/>
        <v>1.107E-9</v>
      </c>
      <c r="X802" s="1"/>
      <c r="AB802" s="1">
        <v>1.8E-7</v>
      </c>
      <c r="AC802" s="1"/>
      <c r="AD802">
        <f>+AVERAGE(0.0013,0.011)*10000</f>
        <v>61.499999999999993</v>
      </c>
      <c r="AK802" t="s">
        <v>355</v>
      </c>
    </row>
    <row r="803" spans="1:37" hidden="1" x14ac:dyDescent="0.25">
      <c r="A803" t="s">
        <v>328</v>
      </c>
      <c r="B803" t="s">
        <v>50</v>
      </c>
      <c r="C803" t="s">
        <v>51</v>
      </c>
      <c r="D803" t="s">
        <v>16</v>
      </c>
      <c r="E803" t="s">
        <v>29</v>
      </c>
      <c r="F803" t="s">
        <v>30</v>
      </c>
      <c r="G803" t="s">
        <v>30</v>
      </c>
      <c r="H803" t="s">
        <v>30</v>
      </c>
      <c r="I803" t="s">
        <v>704</v>
      </c>
      <c r="J803">
        <f>4+7</f>
        <v>11</v>
      </c>
      <c r="K803" t="s">
        <v>666</v>
      </c>
      <c r="L803" t="s">
        <v>76</v>
      </c>
      <c r="M803" t="str">
        <f>+IF(L803 = "Control", "Control", "Stress")</f>
        <v>Stress</v>
      </c>
      <c r="N803" t="s">
        <v>462</v>
      </c>
      <c r="O803" t="s">
        <v>707</v>
      </c>
      <c r="R803" t="s">
        <v>408</v>
      </c>
      <c r="S803" t="s">
        <v>701</v>
      </c>
      <c r="T803" t="s">
        <v>695</v>
      </c>
      <c r="U803" t="s">
        <v>609</v>
      </c>
      <c r="V803" s="1" t="s">
        <v>733</v>
      </c>
      <c r="W803" s="1">
        <f t="shared" si="112"/>
        <v>3.5054999999999995E-9</v>
      </c>
      <c r="X803" s="1"/>
      <c r="AB803" s="1">
        <v>5.6999999999999994E-7</v>
      </c>
      <c r="AC803" s="1"/>
      <c r="AD803">
        <f>+AVERAGE(0.0013,0.011)*10000</f>
        <v>61.499999999999993</v>
      </c>
      <c r="AK803" t="s">
        <v>355</v>
      </c>
    </row>
    <row r="804" spans="1:37" hidden="1" x14ac:dyDescent="0.25">
      <c r="A804" t="s">
        <v>328</v>
      </c>
      <c r="B804" t="s">
        <v>50</v>
      </c>
      <c r="C804" t="s">
        <v>51</v>
      </c>
      <c r="D804" t="s">
        <v>16</v>
      </c>
      <c r="E804" t="s">
        <v>29</v>
      </c>
      <c r="F804" t="s">
        <v>30</v>
      </c>
      <c r="G804" t="s">
        <v>30</v>
      </c>
      <c r="H804" t="s">
        <v>30</v>
      </c>
      <c r="I804" t="s">
        <v>704</v>
      </c>
      <c r="J804">
        <f>4+7</f>
        <v>11</v>
      </c>
      <c r="K804" t="s">
        <v>666</v>
      </c>
      <c r="L804" t="s">
        <v>36</v>
      </c>
      <c r="M804" t="str">
        <f>+IF(L804 = "Control", "Control", "Stress")</f>
        <v>Control</v>
      </c>
      <c r="N804" t="s">
        <v>163</v>
      </c>
      <c r="O804" t="s">
        <v>707</v>
      </c>
      <c r="R804" t="s">
        <v>408</v>
      </c>
      <c r="S804" t="s">
        <v>701</v>
      </c>
      <c r="T804" t="s">
        <v>695</v>
      </c>
      <c r="U804" t="s">
        <v>609</v>
      </c>
      <c r="V804" s="1" t="s">
        <v>733</v>
      </c>
      <c r="W804" s="1">
        <f t="shared" si="112"/>
        <v>1.407E-9</v>
      </c>
      <c r="X804" s="1"/>
      <c r="AB804" s="1">
        <v>8.3999999999999998E-8</v>
      </c>
      <c r="AC804" s="1"/>
      <c r="AD804">
        <f>+AVERAGE(0.0057,0.0278)*10000</f>
        <v>167.5</v>
      </c>
      <c r="AK804" t="s">
        <v>355</v>
      </c>
    </row>
    <row r="805" spans="1:37" hidden="1" x14ac:dyDescent="0.25">
      <c r="A805" t="s">
        <v>328</v>
      </c>
      <c r="B805" t="s">
        <v>50</v>
      </c>
      <c r="C805" t="s">
        <v>51</v>
      </c>
      <c r="D805" t="s">
        <v>16</v>
      </c>
      <c r="E805" t="s">
        <v>29</v>
      </c>
      <c r="F805" t="s">
        <v>30</v>
      </c>
      <c r="G805" t="s">
        <v>30</v>
      </c>
      <c r="H805" t="s">
        <v>30</v>
      </c>
      <c r="I805" t="s">
        <v>704</v>
      </c>
      <c r="J805">
        <f>4+7</f>
        <v>11</v>
      </c>
      <c r="K805" t="s">
        <v>666</v>
      </c>
      <c r="L805" t="s">
        <v>76</v>
      </c>
      <c r="M805" t="str">
        <f>+IF(L805 = "Control", "Control", "Stress")</f>
        <v>Stress</v>
      </c>
      <c r="N805" t="s">
        <v>163</v>
      </c>
      <c r="O805" t="s">
        <v>707</v>
      </c>
      <c r="R805" t="s">
        <v>408</v>
      </c>
      <c r="S805" t="s">
        <v>701</v>
      </c>
      <c r="T805" t="s">
        <v>695</v>
      </c>
      <c r="U805" t="s">
        <v>609</v>
      </c>
      <c r="V805" s="1" t="s">
        <v>733</v>
      </c>
      <c r="W805" s="1">
        <f t="shared" si="112"/>
        <v>2.1775E-9</v>
      </c>
      <c r="X805" s="1"/>
      <c r="AB805" s="1">
        <v>1.3E-7</v>
      </c>
      <c r="AC805" s="1"/>
      <c r="AD805">
        <f>+AVERAGE(0.0057,0.0278)*10000</f>
        <v>167.5</v>
      </c>
      <c r="AK805" t="s">
        <v>355</v>
      </c>
    </row>
    <row r="806" spans="1:37" hidden="1" x14ac:dyDescent="0.25">
      <c r="A806" t="s">
        <v>137</v>
      </c>
      <c r="B806" t="s">
        <v>138</v>
      </c>
      <c r="C806" t="s">
        <v>139</v>
      </c>
      <c r="D806" t="s">
        <v>140</v>
      </c>
      <c r="E806" t="s">
        <v>17</v>
      </c>
      <c r="F806" t="s">
        <v>69</v>
      </c>
      <c r="G806" t="s">
        <v>616</v>
      </c>
      <c r="H806" t="s">
        <v>760</v>
      </c>
      <c r="I806" t="s">
        <v>705</v>
      </c>
      <c r="J806">
        <f>+AVERAGE(6,9)*30</f>
        <v>225</v>
      </c>
      <c r="K806" t="s">
        <v>756</v>
      </c>
      <c r="L806" t="s">
        <v>756</v>
      </c>
      <c r="M806" t="s">
        <v>756</v>
      </c>
      <c r="R806" t="s">
        <v>408</v>
      </c>
      <c r="S806" t="s">
        <v>701</v>
      </c>
      <c r="T806" t="s">
        <v>695</v>
      </c>
      <c r="U806" t="s">
        <v>609</v>
      </c>
      <c r="V806" s="1" t="s">
        <v>774</v>
      </c>
      <c r="W806" s="1">
        <f>0.38*18*0.000000001</f>
        <v>6.8400000000000004E-9</v>
      </c>
      <c r="X806" s="1"/>
      <c r="Y806" s="1"/>
      <c r="Z806" s="1"/>
      <c r="AA806" s="1"/>
      <c r="AF806" s="2"/>
      <c r="AG806" s="2"/>
      <c r="AK806" t="s">
        <v>44</v>
      </c>
    </row>
    <row r="807" spans="1:37" hidden="1" x14ac:dyDescent="0.25">
      <c r="A807" t="s">
        <v>141</v>
      </c>
      <c r="B807" t="s">
        <v>125</v>
      </c>
      <c r="C807" t="s">
        <v>67</v>
      </c>
      <c r="D807" t="s">
        <v>68</v>
      </c>
      <c r="E807" t="s">
        <v>17</v>
      </c>
      <c r="F807" t="s">
        <v>126</v>
      </c>
      <c r="G807" t="s">
        <v>616</v>
      </c>
      <c r="H807" t="s">
        <v>760</v>
      </c>
      <c r="I807" t="s">
        <v>705</v>
      </c>
      <c r="J807">
        <f>365*1+30*1.5</f>
        <v>410</v>
      </c>
      <c r="K807" t="s">
        <v>402</v>
      </c>
      <c r="L807" t="s">
        <v>36</v>
      </c>
      <c r="M807" t="str">
        <f>+IF(L807 = "Control", "Control", "Stress")</f>
        <v>Control</v>
      </c>
      <c r="R807" t="s">
        <v>408</v>
      </c>
      <c r="S807" t="s">
        <v>701</v>
      </c>
      <c r="T807" t="s">
        <v>695</v>
      </c>
      <c r="U807" t="s">
        <v>609</v>
      </c>
      <c r="V807" s="1"/>
      <c r="W807" s="1"/>
      <c r="X807" s="1"/>
      <c r="Y807" s="1"/>
      <c r="Z807" s="1"/>
      <c r="AA807" s="1"/>
      <c r="AB807" s="1">
        <v>9.7100000000000003E-8</v>
      </c>
      <c r="AF807" s="2"/>
      <c r="AG807" s="2"/>
      <c r="AK807" t="s">
        <v>199</v>
      </c>
    </row>
    <row r="808" spans="1:37" hidden="1" x14ac:dyDescent="0.25">
      <c r="A808" t="s">
        <v>141</v>
      </c>
      <c r="B808" t="s">
        <v>125</v>
      </c>
      <c r="C808" t="s">
        <v>67</v>
      </c>
      <c r="D808" t="s">
        <v>68</v>
      </c>
      <c r="E808" t="s">
        <v>17</v>
      </c>
      <c r="F808" t="s">
        <v>126</v>
      </c>
      <c r="G808" t="s">
        <v>616</v>
      </c>
      <c r="H808" t="s">
        <v>760</v>
      </c>
      <c r="I808" t="s">
        <v>705</v>
      </c>
      <c r="J808">
        <f>365*1+30*1.5</f>
        <v>410</v>
      </c>
      <c r="K808" t="s">
        <v>402</v>
      </c>
      <c r="L808" t="s">
        <v>703</v>
      </c>
      <c r="M808" t="str">
        <f>+IF(L808 = "Control", "Control", "Stress")</f>
        <v>Stress</v>
      </c>
      <c r="R808" t="s">
        <v>408</v>
      </c>
      <c r="S808" t="s">
        <v>701</v>
      </c>
      <c r="T808" t="s">
        <v>695</v>
      </c>
      <c r="U808" t="s">
        <v>609</v>
      </c>
      <c r="V808" s="1"/>
      <c r="W808" s="1"/>
      <c r="X808" s="1"/>
      <c r="Y808" s="1"/>
      <c r="Z808" s="1"/>
      <c r="AA808" s="1"/>
      <c r="AB808" s="1">
        <v>4.88E-8</v>
      </c>
      <c r="AF808" s="2"/>
      <c r="AG808" s="2"/>
      <c r="AK808" t="s">
        <v>199</v>
      </c>
    </row>
    <row r="809" spans="1:37" hidden="1" x14ac:dyDescent="0.25">
      <c r="A809" t="s">
        <v>142</v>
      </c>
      <c r="B809" t="s">
        <v>143</v>
      </c>
      <c r="C809" t="s">
        <v>143</v>
      </c>
      <c r="D809" t="s">
        <v>144</v>
      </c>
      <c r="E809" t="s">
        <v>17</v>
      </c>
      <c r="F809" t="s">
        <v>615</v>
      </c>
      <c r="G809" t="s">
        <v>615</v>
      </c>
      <c r="H809" t="s">
        <v>801</v>
      </c>
      <c r="I809" t="s">
        <v>804</v>
      </c>
      <c r="J809">
        <f>+(3+2)*30</f>
        <v>150</v>
      </c>
      <c r="K809" t="s">
        <v>756</v>
      </c>
      <c r="L809" t="s">
        <v>756</v>
      </c>
      <c r="M809" t="s">
        <v>756</v>
      </c>
      <c r="R809" t="s">
        <v>408</v>
      </c>
      <c r="S809" t="s">
        <v>701</v>
      </c>
      <c r="T809" t="s">
        <v>695</v>
      </c>
      <c r="U809" t="s">
        <v>609</v>
      </c>
      <c r="V809" s="1"/>
      <c r="W809" s="1"/>
      <c r="X809" s="1"/>
      <c r="Y809" s="1"/>
      <c r="Z809" s="1"/>
      <c r="AA809" s="1"/>
      <c r="AB809" s="1">
        <v>8.9999999999999995E-9</v>
      </c>
      <c r="AF809" s="2"/>
      <c r="AG809" s="2"/>
      <c r="AH809" s="2">
        <v>1.5</v>
      </c>
      <c r="AK809" t="s">
        <v>403</v>
      </c>
    </row>
    <row r="810" spans="1:37" hidden="1" x14ac:dyDescent="0.25">
      <c r="A810" t="s">
        <v>142</v>
      </c>
      <c r="B810" t="s">
        <v>145</v>
      </c>
      <c r="C810" t="s">
        <v>145</v>
      </c>
      <c r="D810" t="s">
        <v>146</v>
      </c>
      <c r="E810" t="s">
        <v>17</v>
      </c>
      <c r="F810" t="s">
        <v>707</v>
      </c>
      <c r="G810" t="s">
        <v>707</v>
      </c>
      <c r="H810" t="s">
        <v>707</v>
      </c>
      <c r="I810" t="s">
        <v>707</v>
      </c>
      <c r="J810">
        <f>2*365</f>
        <v>730</v>
      </c>
      <c r="K810" t="s">
        <v>756</v>
      </c>
      <c r="L810" t="s">
        <v>756</v>
      </c>
      <c r="M810" t="s">
        <v>756</v>
      </c>
      <c r="R810" t="s">
        <v>408</v>
      </c>
      <c r="S810" t="s">
        <v>701</v>
      </c>
      <c r="T810" t="s">
        <v>695</v>
      </c>
      <c r="U810" t="s">
        <v>609</v>
      </c>
      <c r="V810" s="1"/>
      <c r="W810" s="1"/>
      <c r="X810" s="1"/>
      <c r="Y810" s="1"/>
      <c r="Z810" s="1"/>
      <c r="AA810" s="1"/>
      <c r="AB810" s="1">
        <v>4.1999999999999999E-8</v>
      </c>
      <c r="AF810" s="2"/>
      <c r="AG810" s="2"/>
      <c r="AH810" s="2">
        <v>1.5</v>
      </c>
      <c r="AK810" t="s">
        <v>403</v>
      </c>
    </row>
    <row r="811" spans="1:37" hidden="1" x14ac:dyDescent="0.25">
      <c r="A811" t="s">
        <v>142</v>
      </c>
      <c r="B811" t="s">
        <v>147</v>
      </c>
      <c r="C811" t="s">
        <v>148</v>
      </c>
      <c r="D811" t="s">
        <v>149</v>
      </c>
      <c r="E811" t="s">
        <v>17</v>
      </c>
      <c r="F811" t="s">
        <v>69</v>
      </c>
      <c r="G811" t="s">
        <v>763</v>
      </c>
      <c r="H811" t="s">
        <v>760</v>
      </c>
      <c r="I811" t="s">
        <v>705</v>
      </c>
      <c r="J811">
        <f>+(4+2)*30</f>
        <v>180</v>
      </c>
      <c r="K811" t="s">
        <v>48</v>
      </c>
      <c r="L811" t="s">
        <v>36</v>
      </c>
      <c r="M811" t="str">
        <f>+IF(L811 = "Control", "Control", "Stress")</f>
        <v>Control</v>
      </c>
      <c r="R811" t="s">
        <v>408</v>
      </c>
      <c r="S811" t="s">
        <v>701</v>
      </c>
      <c r="T811" t="s">
        <v>695</v>
      </c>
      <c r="U811" t="s">
        <v>609</v>
      </c>
      <c r="V811" s="1"/>
      <c r="W811" s="1"/>
      <c r="X811" s="1"/>
      <c r="Y811" s="1"/>
      <c r="Z811" s="1"/>
      <c r="AA811" s="1"/>
      <c r="AB811" s="1">
        <v>3.5999999999999998E-8</v>
      </c>
      <c r="AF811" s="2"/>
      <c r="AG811" s="2"/>
      <c r="AH811" s="2">
        <v>0.64</v>
      </c>
      <c r="AK811" t="s">
        <v>403</v>
      </c>
    </row>
    <row r="812" spans="1:37" hidden="1" x14ac:dyDescent="0.25">
      <c r="A812" t="s">
        <v>142</v>
      </c>
      <c r="B812" t="s">
        <v>147</v>
      </c>
      <c r="C812" t="s">
        <v>148</v>
      </c>
      <c r="D812" t="s">
        <v>149</v>
      </c>
      <c r="E812" t="s">
        <v>17</v>
      </c>
      <c r="F812" t="s">
        <v>69</v>
      </c>
      <c r="G812" t="s">
        <v>763</v>
      </c>
      <c r="H812" t="s">
        <v>760</v>
      </c>
      <c r="I812" t="s">
        <v>705</v>
      </c>
      <c r="J812">
        <f>+(4+2)*30</f>
        <v>180</v>
      </c>
      <c r="K812" t="s">
        <v>48</v>
      </c>
      <c r="L812" t="s">
        <v>48</v>
      </c>
      <c r="M812" t="str">
        <f>+IF(L812 = "Control", "Control", "Stress")</f>
        <v>Stress</v>
      </c>
      <c r="R812" t="s">
        <v>408</v>
      </c>
      <c r="S812" t="s">
        <v>701</v>
      </c>
      <c r="T812" t="s">
        <v>695</v>
      </c>
      <c r="U812" t="s">
        <v>609</v>
      </c>
      <c r="V812" s="1"/>
      <c r="W812" s="1"/>
      <c r="X812" s="1"/>
      <c r="Y812" s="1"/>
      <c r="Z812" s="1"/>
      <c r="AA812" s="1"/>
      <c r="AB812" s="1">
        <v>8.0000000000000005E-9</v>
      </c>
      <c r="AF812" s="2"/>
      <c r="AG812" s="2"/>
      <c r="AH812" s="2">
        <v>0.57999999999999996</v>
      </c>
      <c r="AK812" t="s">
        <v>403</v>
      </c>
    </row>
    <row r="813" spans="1:37" hidden="1" x14ac:dyDescent="0.25">
      <c r="A813" t="s">
        <v>142</v>
      </c>
      <c r="B813" t="s">
        <v>150</v>
      </c>
      <c r="C813" t="s">
        <v>151</v>
      </c>
      <c r="D813" t="s">
        <v>152</v>
      </c>
      <c r="E813" t="s">
        <v>17</v>
      </c>
      <c r="F813" t="s">
        <v>69</v>
      </c>
      <c r="G813" t="s">
        <v>763</v>
      </c>
      <c r="H813" t="s">
        <v>760</v>
      </c>
      <c r="I813" t="s">
        <v>705</v>
      </c>
      <c r="J813">
        <f>+(6+2)*30</f>
        <v>240</v>
      </c>
      <c r="K813" t="s">
        <v>756</v>
      </c>
      <c r="L813" t="s">
        <v>756</v>
      </c>
      <c r="M813" t="s">
        <v>756</v>
      </c>
      <c r="R813" t="s">
        <v>408</v>
      </c>
      <c r="S813" t="s">
        <v>701</v>
      </c>
      <c r="T813" t="s">
        <v>695</v>
      </c>
      <c r="U813" t="s">
        <v>609</v>
      </c>
      <c r="V813" s="1"/>
      <c r="W813" s="1"/>
      <c r="X813" s="1"/>
      <c r="Y813" s="1"/>
      <c r="Z813" s="1"/>
      <c r="AA813" s="1"/>
      <c r="AB813" s="1">
        <v>7.9000000000000006E-8</v>
      </c>
      <c r="AF813" s="2"/>
      <c r="AG813" s="2"/>
      <c r="AH813" s="2">
        <v>0.81</v>
      </c>
      <c r="AK813" t="s">
        <v>403</v>
      </c>
    </row>
    <row r="814" spans="1:37" hidden="1" x14ac:dyDescent="0.25">
      <c r="A814" t="s">
        <v>142</v>
      </c>
      <c r="B814" t="s">
        <v>98</v>
      </c>
      <c r="C814" t="s">
        <v>99</v>
      </c>
      <c r="D814" t="s">
        <v>89</v>
      </c>
      <c r="E814" t="s">
        <v>17</v>
      </c>
      <c r="F814" t="s">
        <v>618</v>
      </c>
      <c r="G814" t="s">
        <v>618</v>
      </c>
      <c r="H814" t="s">
        <v>801</v>
      </c>
      <c r="I814" t="s">
        <v>804</v>
      </c>
      <c r="J814">
        <f>+(2+2)*30</f>
        <v>120</v>
      </c>
      <c r="K814" t="s">
        <v>48</v>
      </c>
      <c r="L814" t="s">
        <v>36</v>
      </c>
      <c r="M814" t="str">
        <f>+IF(L814 = "Control", "Control", "Stress")</f>
        <v>Control</v>
      </c>
      <c r="R814" t="s">
        <v>408</v>
      </c>
      <c r="S814" t="s">
        <v>701</v>
      </c>
      <c r="T814" t="s">
        <v>695</v>
      </c>
      <c r="U814" t="s">
        <v>609</v>
      </c>
      <c r="V814" s="1"/>
      <c r="W814" s="1"/>
      <c r="X814" s="1"/>
      <c r="Y814" s="1"/>
      <c r="Z814" s="1"/>
      <c r="AA814" s="1"/>
      <c r="AB814" s="1">
        <v>7.6000000000000006E-8</v>
      </c>
      <c r="AF814" s="2"/>
      <c r="AG814" s="2"/>
      <c r="AH814" s="2">
        <v>0.56999999999999995</v>
      </c>
      <c r="AK814" t="s">
        <v>403</v>
      </c>
    </row>
    <row r="815" spans="1:37" hidden="1" x14ac:dyDescent="0.25">
      <c r="A815" t="s">
        <v>142</v>
      </c>
      <c r="B815" t="s">
        <v>98</v>
      </c>
      <c r="C815" t="s">
        <v>99</v>
      </c>
      <c r="D815" t="s">
        <v>89</v>
      </c>
      <c r="E815" t="s">
        <v>17</v>
      </c>
      <c r="F815" t="s">
        <v>618</v>
      </c>
      <c r="G815" t="s">
        <v>618</v>
      </c>
      <c r="H815" t="s">
        <v>801</v>
      </c>
      <c r="I815" t="s">
        <v>804</v>
      </c>
      <c r="J815">
        <f>+(2+2)*30</f>
        <v>120</v>
      </c>
      <c r="K815" t="s">
        <v>48</v>
      </c>
      <c r="L815" t="s">
        <v>48</v>
      </c>
      <c r="M815" t="str">
        <f>+IF(L815 = "Control", "Control", "Stress")</f>
        <v>Stress</v>
      </c>
      <c r="R815" t="s">
        <v>408</v>
      </c>
      <c r="S815" t="s">
        <v>701</v>
      </c>
      <c r="T815" t="s">
        <v>695</v>
      </c>
      <c r="U815" t="s">
        <v>609</v>
      </c>
      <c r="V815" s="1"/>
      <c r="W815" s="1"/>
      <c r="X815" s="1"/>
      <c r="Y815" s="1"/>
      <c r="Z815" s="1"/>
      <c r="AA815" s="1"/>
      <c r="AB815" s="1">
        <v>1.7E-8</v>
      </c>
      <c r="AF815" s="2"/>
      <c r="AG815" s="2"/>
      <c r="AH815" s="2">
        <v>0.67</v>
      </c>
      <c r="AK815" t="s">
        <v>403</v>
      </c>
    </row>
    <row r="816" spans="1:37" hidden="1" x14ac:dyDescent="0.25">
      <c r="A816" t="s">
        <v>329</v>
      </c>
      <c r="B816" t="s">
        <v>63</v>
      </c>
      <c r="C816" t="s">
        <v>64</v>
      </c>
      <c r="D816" t="s">
        <v>65</v>
      </c>
      <c r="E816" t="s">
        <v>17</v>
      </c>
      <c r="F816" t="s">
        <v>614</v>
      </c>
      <c r="G816" t="s">
        <v>614</v>
      </c>
      <c r="H816" t="s">
        <v>801</v>
      </c>
      <c r="I816" t="s">
        <v>804</v>
      </c>
      <c r="J816">
        <v>20</v>
      </c>
      <c r="K816" t="s">
        <v>402</v>
      </c>
      <c r="L816" t="s">
        <v>36</v>
      </c>
      <c r="M816" t="str">
        <f>+IF(L816 = "Control", "Control", "Stress")</f>
        <v>Control</v>
      </c>
      <c r="R816" t="s">
        <v>408</v>
      </c>
      <c r="S816" t="s">
        <v>701</v>
      </c>
      <c r="T816" t="s">
        <v>695</v>
      </c>
      <c r="U816" t="s">
        <v>610</v>
      </c>
      <c r="V816" s="1"/>
      <c r="W816" s="1"/>
      <c r="X816" s="1">
        <f>0.0000007566/3600</f>
        <v>2.1016666666666666E-10</v>
      </c>
      <c r="Y816" s="1"/>
      <c r="Z816" s="1"/>
      <c r="AA816" s="1"/>
      <c r="AF816" s="2"/>
      <c r="AG816" s="2"/>
      <c r="AK816" t="s">
        <v>348</v>
      </c>
    </row>
    <row r="817" spans="1:37" hidden="1" x14ac:dyDescent="0.25">
      <c r="A817" t="s">
        <v>329</v>
      </c>
      <c r="B817" t="s">
        <v>63</v>
      </c>
      <c r="C817" t="s">
        <v>64</v>
      </c>
      <c r="D817" t="s">
        <v>65</v>
      </c>
      <c r="E817" t="s">
        <v>17</v>
      </c>
      <c r="F817" t="s">
        <v>614</v>
      </c>
      <c r="G817" t="s">
        <v>614</v>
      </c>
      <c r="H817" t="s">
        <v>801</v>
      </c>
      <c r="I817" t="s">
        <v>804</v>
      </c>
      <c r="J817">
        <v>20</v>
      </c>
      <c r="K817" t="s">
        <v>402</v>
      </c>
      <c r="L817" t="s">
        <v>703</v>
      </c>
      <c r="M817" t="str">
        <f>+IF(L817 = "Control", "Control", "Stress")</f>
        <v>Stress</v>
      </c>
      <c r="R817" t="s">
        <v>408</v>
      </c>
      <c r="S817" t="s">
        <v>701</v>
      </c>
      <c r="T817" t="s">
        <v>695</v>
      </c>
      <c r="U817" t="s">
        <v>610</v>
      </c>
      <c r="V817" s="1"/>
      <c r="W817" s="1"/>
      <c r="X817" s="1">
        <f>0.0000005929/3600</f>
        <v>1.6469444444444444E-10</v>
      </c>
      <c r="Y817" s="1"/>
      <c r="Z817" s="1"/>
      <c r="AA817" s="1"/>
      <c r="AF817" s="2"/>
      <c r="AG817" s="2"/>
      <c r="AK817" t="s">
        <v>348</v>
      </c>
    </row>
    <row r="818" spans="1:37" hidden="1" x14ac:dyDescent="0.25">
      <c r="A818" t="s">
        <v>528</v>
      </c>
      <c r="B818" t="s">
        <v>171</v>
      </c>
      <c r="C818" t="s">
        <v>139</v>
      </c>
      <c r="D818" t="s">
        <v>140</v>
      </c>
      <c r="E818" t="s">
        <v>17</v>
      </c>
      <c r="F818" t="s">
        <v>23</v>
      </c>
      <c r="G818" t="s">
        <v>617</v>
      </c>
      <c r="H818" t="s">
        <v>760</v>
      </c>
      <c r="I818" t="s">
        <v>705</v>
      </c>
      <c r="J818">
        <f t="shared" ref="J818:J824" si="114">365*3</f>
        <v>1095</v>
      </c>
      <c r="K818" t="s">
        <v>756</v>
      </c>
      <c r="L818" t="s">
        <v>756</v>
      </c>
      <c r="M818" t="s">
        <v>756</v>
      </c>
      <c r="R818" t="s">
        <v>408</v>
      </c>
      <c r="S818" t="s">
        <v>701</v>
      </c>
      <c r="T818" t="s">
        <v>695</v>
      </c>
      <c r="U818" t="s">
        <v>609</v>
      </c>
      <c r="V818" s="1" t="s">
        <v>733</v>
      </c>
      <c r="W818" s="1">
        <f t="shared" ref="W818:W820" si="115">+AB818*AD818/10000</f>
        <v>2.6066739846322693E-9</v>
      </c>
      <c r="X818" s="1"/>
      <c r="Y818" s="1"/>
      <c r="Z818" s="1"/>
      <c r="AA818" s="1"/>
      <c r="AB818" s="1">
        <f>[106]Sheet1!A2</f>
        <v>3.9495060373216199E-8</v>
      </c>
      <c r="AC818" s="1">
        <v>4.9800000000000003E-8</v>
      </c>
      <c r="AD818">
        <v>660</v>
      </c>
      <c r="AF818" s="2"/>
      <c r="AG818" s="2"/>
      <c r="AI818" s="5">
        <v>3.5999999999999997E-2</v>
      </c>
      <c r="AK818" t="s">
        <v>44</v>
      </c>
    </row>
    <row r="819" spans="1:37" hidden="1" x14ac:dyDescent="0.25">
      <c r="A819" t="s">
        <v>528</v>
      </c>
      <c r="B819" t="s">
        <v>172</v>
      </c>
      <c r="C819" t="s">
        <v>139</v>
      </c>
      <c r="D819" t="s">
        <v>140</v>
      </c>
      <c r="E819" t="s">
        <v>17</v>
      </c>
      <c r="F819" t="s">
        <v>69</v>
      </c>
      <c r="G819" t="s">
        <v>616</v>
      </c>
      <c r="H819" t="s">
        <v>760</v>
      </c>
      <c r="I819" t="s">
        <v>705</v>
      </c>
      <c r="J819">
        <f t="shared" si="114"/>
        <v>1095</v>
      </c>
      <c r="K819" t="s">
        <v>756</v>
      </c>
      <c r="L819" t="s">
        <v>756</v>
      </c>
      <c r="M819" t="s">
        <v>756</v>
      </c>
      <c r="R819" t="s">
        <v>408</v>
      </c>
      <c r="S819" t="s">
        <v>701</v>
      </c>
      <c r="T819" t="s">
        <v>695</v>
      </c>
      <c r="U819" t="s">
        <v>609</v>
      </c>
      <c r="V819" s="1" t="s">
        <v>733</v>
      </c>
      <c r="W819" s="1">
        <f t="shared" si="115"/>
        <v>2.6623051591657503E-9</v>
      </c>
      <c r="X819" s="1"/>
      <c r="Y819" s="1"/>
      <c r="Z819" s="1"/>
      <c r="AA819" s="1"/>
      <c r="AB819" s="1">
        <f>[106]Sheet1!A3</f>
        <v>3.7497255762897899E-8</v>
      </c>
      <c r="AC819" s="1">
        <v>5.4100000000000001E-8</v>
      </c>
      <c r="AD819">
        <v>709.99999999999989</v>
      </c>
      <c r="AF819" s="2"/>
      <c r="AG819" s="2"/>
      <c r="AI819" s="5">
        <v>4.9000000000000002E-2</v>
      </c>
      <c r="AK819" t="s">
        <v>44</v>
      </c>
    </row>
    <row r="820" spans="1:37" hidden="1" x14ac:dyDescent="0.25">
      <c r="A820" t="s">
        <v>528</v>
      </c>
      <c r="B820" t="s">
        <v>357</v>
      </c>
      <c r="C820" t="s">
        <v>139</v>
      </c>
      <c r="D820" t="s">
        <v>140</v>
      </c>
      <c r="E820" t="s">
        <v>17</v>
      </c>
      <c r="F820" t="s">
        <v>69</v>
      </c>
      <c r="G820" t="s">
        <v>616</v>
      </c>
      <c r="H820" t="s">
        <v>760</v>
      </c>
      <c r="I820" t="s">
        <v>705</v>
      </c>
      <c r="J820">
        <f t="shared" si="114"/>
        <v>1095</v>
      </c>
      <c r="K820" t="s">
        <v>756</v>
      </c>
      <c r="L820" t="s">
        <v>756</v>
      </c>
      <c r="M820" t="s">
        <v>756</v>
      </c>
      <c r="R820" t="s">
        <v>408</v>
      </c>
      <c r="S820" t="s">
        <v>701</v>
      </c>
      <c r="T820" t="s">
        <v>695</v>
      </c>
      <c r="U820" t="s">
        <v>609</v>
      </c>
      <c r="V820" s="1" t="s">
        <v>733</v>
      </c>
      <c r="W820" s="1">
        <f t="shared" si="115"/>
        <v>2.9367727771679449E-9</v>
      </c>
      <c r="X820" s="1"/>
      <c r="Y820" s="1"/>
      <c r="Z820" s="1"/>
      <c r="AA820" s="1"/>
      <c r="AB820" s="1">
        <f>[106]Sheet1!A4</f>
        <v>1.99780461031833E-8</v>
      </c>
      <c r="AC820" s="1">
        <v>4.2300000000000002E-8</v>
      </c>
      <c r="AD820">
        <v>1470</v>
      </c>
      <c r="AF820" s="2"/>
      <c r="AG820" s="2"/>
      <c r="AI820" s="5">
        <v>6.2E-2</v>
      </c>
      <c r="AK820" t="s">
        <v>44</v>
      </c>
    </row>
    <row r="821" spans="1:37" hidden="1" x14ac:dyDescent="0.25">
      <c r="A821" t="s">
        <v>528</v>
      </c>
      <c r="B821" t="s">
        <v>529</v>
      </c>
      <c r="C821" t="s">
        <v>139</v>
      </c>
      <c r="D821" t="s">
        <v>140</v>
      </c>
      <c r="E821" t="s">
        <v>17</v>
      </c>
      <c r="F821" t="s">
        <v>69</v>
      </c>
      <c r="G821" t="s">
        <v>616</v>
      </c>
      <c r="H821" t="s">
        <v>760</v>
      </c>
      <c r="I821" t="s">
        <v>705</v>
      </c>
      <c r="J821">
        <f t="shared" si="114"/>
        <v>1095</v>
      </c>
      <c r="K821" t="s">
        <v>756</v>
      </c>
      <c r="L821" t="s">
        <v>756</v>
      </c>
      <c r="M821" t="s">
        <v>756</v>
      </c>
      <c r="R821" t="s">
        <v>408</v>
      </c>
      <c r="S821" t="s">
        <v>701</v>
      </c>
      <c r="T821" t="s">
        <v>695</v>
      </c>
      <c r="U821" t="s">
        <v>609</v>
      </c>
      <c r="V821" s="1" t="s">
        <v>733</v>
      </c>
      <c r="W821" s="1">
        <f t="shared" ref="W821" si="116">+AC821*AI821</f>
        <v>1.77987E-8</v>
      </c>
      <c r="X821" s="1"/>
      <c r="Y821" s="1"/>
      <c r="Z821" s="1"/>
      <c r="AA821" s="1"/>
      <c r="AC821" s="1">
        <v>7.5100000000000004E-8</v>
      </c>
      <c r="AF821" s="2"/>
      <c r="AG821" s="2"/>
      <c r="AI821" s="5">
        <v>0.23699999999999999</v>
      </c>
      <c r="AK821" t="s">
        <v>44</v>
      </c>
    </row>
    <row r="822" spans="1:37" hidden="1" x14ac:dyDescent="0.25">
      <c r="A822" t="s">
        <v>528</v>
      </c>
      <c r="B822" t="s">
        <v>530</v>
      </c>
      <c r="C822" t="s">
        <v>139</v>
      </c>
      <c r="D822" t="s">
        <v>140</v>
      </c>
      <c r="E822" t="s">
        <v>17</v>
      </c>
      <c r="F822" t="s">
        <v>69</v>
      </c>
      <c r="G822" t="s">
        <v>616</v>
      </c>
      <c r="H822" t="s">
        <v>760</v>
      </c>
      <c r="I822" t="s">
        <v>705</v>
      </c>
      <c r="J822">
        <f t="shared" si="114"/>
        <v>1095</v>
      </c>
      <c r="K822" t="s">
        <v>756</v>
      </c>
      <c r="L822" t="s">
        <v>756</v>
      </c>
      <c r="M822" t="s">
        <v>756</v>
      </c>
      <c r="R822" t="s">
        <v>408</v>
      </c>
      <c r="S822" t="s">
        <v>701</v>
      </c>
      <c r="T822" t="s">
        <v>695</v>
      </c>
      <c r="U822" t="s">
        <v>609</v>
      </c>
      <c r="V822" s="1" t="s">
        <v>733</v>
      </c>
      <c r="W822" s="1">
        <f t="shared" ref="W822:W823" si="117">+AB822*AD822/10000</f>
        <v>4.1953896816684946E-9</v>
      </c>
      <c r="X822" s="1"/>
      <c r="Y822" s="1"/>
      <c r="Z822" s="1"/>
      <c r="AA822" s="1"/>
      <c r="AB822" s="1">
        <f>[106]Sheet1!A6</f>
        <v>8.0680570801317198E-8</v>
      </c>
      <c r="AC822" s="1">
        <v>8.8300000000000003E-8</v>
      </c>
      <c r="AD822">
        <v>520</v>
      </c>
      <c r="AF822" s="2"/>
      <c r="AG822" s="2"/>
      <c r="AI822" s="5">
        <v>2.5999999999999999E-2</v>
      </c>
      <c r="AK822" t="s">
        <v>44</v>
      </c>
    </row>
    <row r="823" spans="1:37" hidden="1" x14ac:dyDescent="0.25">
      <c r="A823" t="s">
        <v>528</v>
      </c>
      <c r="B823" t="s">
        <v>294</v>
      </c>
      <c r="C823" t="s">
        <v>139</v>
      </c>
      <c r="D823" t="s">
        <v>140</v>
      </c>
      <c r="E823" t="s">
        <v>17</v>
      </c>
      <c r="F823" t="s">
        <v>69</v>
      </c>
      <c r="G823" t="s">
        <v>616</v>
      </c>
      <c r="H823" t="s">
        <v>760</v>
      </c>
      <c r="I823" t="s">
        <v>705</v>
      </c>
      <c r="J823">
        <f t="shared" si="114"/>
        <v>1095</v>
      </c>
      <c r="K823" t="s">
        <v>756</v>
      </c>
      <c r="L823" t="s">
        <v>756</v>
      </c>
      <c r="M823" t="s">
        <v>756</v>
      </c>
      <c r="R823" t="s">
        <v>408</v>
      </c>
      <c r="S823" t="s">
        <v>701</v>
      </c>
      <c r="T823" t="s">
        <v>695</v>
      </c>
      <c r="U823" t="s">
        <v>609</v>
      </c>
      <c r="V823" s="1" t="s">
        <v>733</v>
      </c>
      <c r="W823" s="1">
        <f t="shared" si="117"/>
        <v>8.7583754116355364E-9</v>
      </c>
      <c r="X823" s="1"/>
      <c r="Y823" s="1"/>
      <c r="Z823" s="1"/>
      <c r="AA823" s="1"/>
      <c r="AB823" s="1">
        <f>[106]Sheet1!A7</f>
        <v>3.1964873765093201E-8</v>
      </c>
      <c r="AC823" s="1">
        <v>6.3399999999999999E-8</v>
      </c>
      <c r="AD823">
        <v>2740</v>
      </c>
      <c r="AF823" s="2"/>
      <c r="AG823" s="2"/>
      <c r="AI823" s="5">
        <v>0.17899999999999999</v>
      </c>
      <c r="AK823" t="s">
        <v>44</v>
      </c>
    </row>
    <row r="824" spans="1:37" hidden="1" x14ac:dyDescent="0.25">
      <c r="A824" t="s">
        <v>528</v>
      </c>
      <c r="B824" t="s">
        <v>212</v>
      </c>
      <c r="C824" t="s">
        <v>139</v>
      </c>
      <c r="D824" t="s">
        <v>140</v>
      </c>
      <c r="E824" t="s">
        <v>17</v>
      </c>
      <c r="F824" t="s">
        <v>69</v>
      </c>
      <c r="G824" t="s">
        <v>616</v>
      </c>
      <c r="H824" t="s">
        <v>760</v>
      </c>
      <c r="I824" t="s">
        <v>705</v>
      </c>
      <c r="J824">
        <f t="shared" si="114"/>
        <v>1095</v>
      </c>
      <c r="K824" t="s">
        <v>756</v>
      </c>
      <c r="L824" t="s">
        <v>756</v>
      </c>
      <c r="M824" t="s">
        <v>756</v>
      </c>
      <c r="R824" t="s">
        <v>408</v>
      </c>
      <c r="S824" t="s">
        <v>701</v>
      </c>
      <c r="T824" t="s">
        <v>695</v>
      </c>
      <c r="U824" t="s">
        <v>609</v>
      </c>
      <c r="V824" s="1" t="s">
        <v>733</v>
      </c>
      <c r="W824" s="1">
        <f t="shared" ref="W824:W827" si="118">+AC824*AI824</f>
        <v>2.6192800000000001E-8</v>
      </c>
      <c r="X824" s="1"/>
      <c r="Y824" s="1"/>
      <c r="Z824" s="1"/>
      <c r="AA824" s="1"/>
      <c r="AB824"/>
      <c r="AC824" s="1">
        <v>1.129E-7</v>
      </c>
      <c r="AF824" s="2"/>
      <c r="AG824" s="2"/>
      <c r="AI824" s="5">
        <v>0.23200000000000001</v>
      </c>
      <c r="AK824" t="s">
        <v>44</v>
      </c>
    </row>
    <row r="825" spans="1:37" hidden="1" x14ac:dyDescent="0.25">
      <c r="A825" t="s">
        <v>300</v>
      </c>
      <c r="B825" t="s">
        <v>172</v>
      </c>
      <c r="C825" t="s">
        <v>139</v>
      </c>
      <c r="D825" t="s">
        <v>140</v>
      </c>
      <c r="E825" t="s">
        <v>17</v>
      </c>
      <c r="F825" t="s">
        <v>69</v>
      </c>
      <c r="G825" t="s">
        <v>616</v>
      </c>
      <c r="H825" t="s">
        <v>760</v>
      </c>
      <c r="I825" t="s">
        <v>705</v>
      </c>
      <c r="J825">
        <f>+AVERAGE(5,7)*365</f>
        <v>2190</v>
      </c>
      <c r="K825" t="s">
        <v>743</v>
      </c>
      <c r="L825" t="s">
        <v>670</v>
      </c>
      <c r="M825" t="s">
        <v>707</v>
      </c>
      <c r="N825" t="s">
        <v>667</v>
      </c>
      <c r="O825" t="s">
        <v>707</v>
      </c>
      <c r="R825" t="s">
        <v>408</v>
      </c>
      <c r="S825" t="s">
        <v>701</v>
      </c>
      <c r="T825" t="s">
        <v>695</v>
      </c>
      <c r="U825" t="s">
        <v>609</v>
      </c>
      <c r="V825" s="1" t="s">
        <v>733</v>
      </c>
      <c r="W825" s="1">
        <f t="shared" si="118"/>
        <v>1.1451E-7</v>
      </c>
      <c r="X825" s="1"/>
      <c r="AC825" s="1">
        <v>3.3000000000000002E-7</v>
      </c>
      <c r="AI825" s="5">
        <v>0.34699999999999998</v>
      </c>
      <c r="AK825" t="s">
        <v>44</v>
      </c>
    </row>
    <row r="826" spans="1:37" hidden="1" x14ac:dyDescent="0.25">
      <c r="A826" t="s">
        <v>300</v>
      </c>
      <c r="B826" t="s">
        <v>172</v>
      </c>
      <c r="C826" t="s">
        <v>139</v>
      </c>
      <c r="D826" t="s">
        <v>140</v>
      </c>
      <c r="E826" t="s">
        <v>17</v>
      </c>
      <c r="F826" t="s">
        <v>69</v>
      </c>
      <c r="G826" t="s">
        <v>616</v>
      </c>
      <c r="H826" t="s">
        <v>760</v>
      </c>
      <c r="I826" t="s">
        <v>705</v>
      </c>
      <c r="J826">
        <f>+AVERAGE(5,7)*365</f>
        <v>2190</v>
      </c>
      <c r="K826" t="s">
        <v>743</v>
      </c>
      <c r="L826" t="s">
        <v>670</v>
      </c>
      <c r="M826" t="s">
        <v>707</v>
      </c>
      <c r="N826" t="s">
        <v>668</v>
      </c>
      <c r="O826" t="s">
        <v>707</v>
      </c>
      <c r="R826" t="s">
        <v>408</v>
      </c>
      <c r="S826" t="s">
        <v>701</v>
      </c>
      <c r="T826" t="s">
        <v>695</v>
      </c>
      <c r="U826" t="s">
        <v>609</v>
      </c>
      <c r="V826" s="1" t="s">
        <v>733</v>
      </c>
      <c r="W826" s="1">
        <f t="shared" si="118"/>
        <v>1.3185999999999999E-7</v>
      </c>
      <c r="X826" s="1"/>
      <c r="AC826" s="1">
        <v>3.8000000000000001E-7</v>
      </c>
      <c r="AI826" s="5">
        <v>0.34699999999999998</v>
      </c>
      <c r="AK826" t="s">
        <v>44</v>
      </c>
    </row>
    <row r="827" spans="1:37" hidden="1" x14ac:dyDescent="0.25">
      <c r="A827" t="s">
        <v>300</v>
      </c>
      <c r="B827" t="s">
        <v>172</v>
      </c>
      <c r="C827" t="s">
        <v>139</v>
      </c>
      <c r="D827" t="s">
        <v>140</v>
      </c>
      <c r="E827" t="s">
        <v>17</v>
      </c>
      <c r="F827" t="s">
        <v>69</v>
      </c>
      <c r="G827" t="s">
        <v>616</v>
      </c>
      <c r="H827" t="s">
        <v>760</v>
      </c>
      <c r="I827" t="s">
        <v>705</v>
      </c>
      <c r="J827">
        <f>+AVERAGE(5,7)*365</f>
        <v>2190</v>
      </c>
      <c r="K827" t="s">
        <v>743</v>
      </c>
      <c r="L827" t="s">
        <v>670</v>
      </c>
      <c r="M827" t="s">
        <v>707</v>
      </c>
      <c r="N827" t="s">
        <v>669</v>
      </c>
      <c r="O827" t="s">
        <v>707</v>
      </c>
      <c r="R827" t="s">
        <v>408</v>
      </c>
      <c r="S827" t="s">
        <v>701</v>
      </c>
      <c r="T827" t="s">
        <v>695</v>
      </c>
      <c r="U827" t="s">
        <v>609</v>
      </c>
      <c r="V827" s="1" t="s">
        <v>733</v>
      </c>
      <c r="W827" s="1">
        <f t="shared" si="118"/>
        <v>1.12775E-7</v>
      </c>
      <c r="X827" s="1"/>
      <c r="AC827" s="1">
        <v>3.2500000000000001E-7</v>
      </c>
      <c r="AI827" s="5">
        <v>0.34699999999999998</v>
      </c>
      <c r="AK827" t="s">
        <v>44</v>
      </c>
    </row>
    <row r="828" spans="1:37" hidden="1" x14ac:dyDescent="0.25">
      <c r="A828" t="s">
        <v>300</v>
      </c>
      <c r="B828" t="s">
        <v>172</v>
      </c>
      <c r="C828" t="s">
        <v>139</v>
      </c>
      <c r="D828" t="s">
        <v>140</v>
      </c>
      <c r="E828" t="s">
        <v>17</v>
      </c>
      <c r="F828" t="s">
        <v>69</v>
      </c>
      <c r="G828" t="s">
        <v>616</v>
      </c>
      <c r="H828" t="s">
        <v>760</v>
      </c>
      <c r="I828" t="s">
        <v>705</v>
      </c>
      <c r="J828">
        <f>3*365</f>
        <v>1095</v>
      </c>
      <c r="K828" t="s">
        <v>743</v>
      </c>
      <c r="L828" t="s">
        <v>485</v>
      </c>
      <c r="M828" t="s">
        <v>707</v>
      </c>
      <c r="R828" t="s">
        <v>408</v>
      </c>
      <c r="S828" t="s">
        <v>701</v>
      </c>
      <c r="T828" t="s">
        <v>695</v>
      </c>
      <c r="U828" t="s">
        <v>609</v>
      </c>
      <c r="V828" s="1" t="s">
        <v>733</v>
      </c>
      <c r="W828" s="1">
        <f>+AB828*AD828/10000</f>
        <v>2.698E-9</v>
      </c>
      <c r="X828" s="1"/>
      <c r="AB828" s="1">
        <v>3.8000000000000003E-8</v>
      </c>
      <c r="AC828" s="1">
        <v>5.2999999999999998E-8</v>
      </c>
      <c r="AD828">
        <f>0.071*10000</f>
        <v>709.99999999999989</v>
      </c>
      <c r="AI828" s="5">
        <v>4.9000000000000002E-2</v>
      </c>
      <c r="AK828" t="s">
        <v>44</v>
      </c>
    </row>
    <row r="829" spans="1:37" hidden="1" x14ac:dyDescent="0.25">
      <c r="A829" t="s">
        <v>153</v>
      </c>
      <c r="B829" t="s">
        <v>154</v>
      </c>
      <c r="C829" t="s">
        <v>155</v>
      </c>
      <c r="D829" t="s">
        <v>156</v>
      </c>
      <c r="E829" t="s">
        <v>17</v>
      </c>
      <c r="F829" t="s">
        <v>157</v>
      </c>
      <c r="G829" t="s">
        <v>134</v>
      </c>
      <c r="H829" t="s">
        <v>134</v>
      </c>
      <c r="I829" t="s">
        <v>134</v>
      </c>
      <c r="J829">
        <f>1*365</f>
        <v>365</v>
      </c>
      <c r="K829" t="s">
        <v>486</v>
      </c>
      <c r="L829" t="s">
        <v>36</v>
      </c>
      <c r="M829" t="str">
        <f t="shared" ref="M829:M848" si="119">+IF(L829 = "Control", "Control", "Stress")</f>
        <v>Control</v>
      </c>
      <c r="R829" t="s">
        <v>408</v>
      </c>
      <c r="S829" t="s">
        <v>701</v>
      </c>
      <c r="T829" t="s">
        <v>695</v>
      </c>
      <c r="U829" t="s">
        <v>609</v>
      </c>
      <c r="V829" s="1" t="s">
        <v>733</v>
      </c>
      <c r="W829" s="1">
        <f t="shared" ref="W829:W832" si="120">+AC829*AI829</f>
        <v>1.2204E-9</v>
      </c>
      <c r="X829" s="1"/>
      <c r="Y829" s="1">
        <v>3.6600000000000002E-9</v>
      </c>
      <c r="Z829" s="1"/>
      <c r="AA829" s="1"/>
      <c r="AC829" s="1">
        <v>5.4000000000000002E-7</v>
      </c>
      <c r="AF829" s="2">
        <v>0.3</v>
      </c>
      <c r="AG829" s="2"/>
      <c r="AI829" s="5">
        <v>2.2599999999999999E-3</v>
      </c>
      <c r="AK829" t="s">
        <v>199</v>
      </c>
    </row>
    <row r="830" spans="1:37" hidden="1" x14ac:dyDescent="0.25">
      <c r="A830" t="s">
        <v>153</v>
      </c>
      <c r="B830" t="s">
        <v>154</v>
      </c>
      <c r="C830" t="s">
        <v>155</v>
      </c>
      <c r="D830" t="s">
        <v>156</v>
      </c>
      <c r="E830" t="s">
        <v>17</v>
      </c>
      <c r="F830" t="s">
        <v>157</v>
      </c>
      <c r="G830" t="s">
        <v>134</v>
      </c>
      <c r="H830" t="s">
        <v>134</v>
      </c>
      <c r="I830" t="s">
        <v>134</v>
      </c>
      <c r="J830">
        <f>1*365</f>
        <v>365</v>
      </c>
      <c r="K830" t="s">
        <v>486</v>
      </c>
      <c r="L830" t="s">
        <v>696</v>
      </c>
      <c r="M830" t="str">
        <f t="shared" si="119"/>
        <v>Stress</v>
      </c>
      <c r="R830" t="s">
        <v>408</v>
      </c>
      <c r="S830" t="s">
        <v>701</v>
      </c>
      <c r="T830" t="s">
        <v>695</v>
      </c>
      <c r="U830" t="s">
        <v>609</v>
      </c>
      <c r="V830" s="1" t="s">
        <v>733</v>
      </c>
      <c r="W830" s="1">
        <f t="shared" si="120"/>
        <v>8.4319999999999994E-10</v>
      </c>
      <c r="X830" s="1"/>
      <c r="Y830" s="1">
        <v>2.7299999999999999E-9</v>
      </c>
      <c r="Z830" s="1"/>
      <c r="AA830" s="1"/>
      <c r="AC830" s="1">
        <v>4.9599999999999999E-7</v>
      </c>
      <c r="AF830" s="2">
        <v>0.27</v>
      </c>
      <c r="AG830" s="2"/>
      <c r="AI830" s="5">
        <v>1.6999999999999999E-3</v>
      </c>
      <c r="AK830" t="s">
        <v>199</v>
      </c>
    </row>
    <row r="831" spans="1:37" hidden="1" x14ac:dyDescent="0.25">
      <c r="A831" t="s">
        <v>153</v>
      </c>
      <c r="B831" t="s">
        <v>63</v>
      </c>
      <c r="C831" t="s">
        <v>64</v>
      </c>
      <c r="D831" t="s">
        <v>65</v>
      </c>
      <c r="E831" t="s">
        <v>17</v>
      </c>
      <c r="F831" t="s">
        <v>614</v>
      </c>
      <c r="G831" t="s">
        <v>614</v>
      </c>
      <c r="H831" t="s">
        <v>801</v>
      </c>
      <c r="I831" t="s">
        <v>804</v>
      </c>
      <c r="J831">
        <v>37</v>
      </c>
      <c r="K831" t="s">
        <v>486</v>
      </c>
      <c r="L831" t="s">
        <v>36</v>
      </c>
      <c r="M831" t="str">
        <f t="shared" si="119"/>
        <v>Control</v>
      </c>
      <c r="R831" t="s">
        <v>408</v>
      </c>
      <c r="S831" t="s">
        <v>701</v>
      </c>
      <c r="T831" t="s">
        <v>695</v>
      </c>
      <c r="U831" t="s">
        <v>609</v>
      </c>
      <c r="V831" s="1" t="s">
        <v>733</v>
      </c>
      <c r="W831" s="1">
        <f t="shared" si="120"/>
        <v>2.8554699999999999E-9</v>
      </c>
      <c r="X831" s="1"/>
      <c r="Y831" s="1">
        <v>7.9900000000000007E-9</v>
      </c>
      <c r="Z831" s="1"/>
      <c r="AA831" s="1"/>
      <c r="AC831" s="1">
        <v>1.009E-6</v>
      </c>
      <c r="AF831" s="2">
        <v>0.22</v>
      </c>
      <c r="AG831" s="2"/>
      <c r="AI831" s="5">
        <v>2.8300000000000001E-3</v>
      </c>
      <c r="AK831" t="s">
        <v>199</v>
      </c>
    </row>
    <row r="832" spans="1:37" hidden="1" x14ac:dyDescent="0.25">
      <c r="A832" t="s">
        <v>153</v>
      </c>
      <c r="B832" t="s">
        <v>63</v>
      </c>
      <c r="C832" t="s">
        <v>64</v>
      </c>
      <c r="D832" t="s">
        <v>65</v>
      </c>
      <c r="E832" t="s">
        <v>17</v>
      </c>
      <c r="F832" t="s">
        <v>614</v>
      </c>
      <c r="G832" t="s">
        <v>614</v>
      </c>
      <c r="H832" t="s">
        <v>801</v>
      </c>
      <c r="I832" t="s">
        <v>804</v>
      </c>
      <c r="J832">
        <v>37</v>
      </c>
      <c r="K832" t="s">
        <v>486</v>
      </c>
      <c r="L832" t="s">
        <v>696</v>
      </c>
      <c r="M832" t="str">
        <f t="shared" si="119"/>
        <v>Stress</v>
      </c>
      <c r="R832" t="s">
        <v>408</v>
      </c>
      <c r="S832" t="s">
        <v>701</v>
      </c>
      <c r="T832" t="s">
        <v>695</v>
      </c>
      <c r="U832" t="s">
        <v>609</v>
      </c>
      <c r="V832" s="1" t="s">
        <v>733</v>
      </c>
      <c r="W832" s="1">
        <f t="shared" si="120"/>
        <v>1.6607400000000002E-9</v>
      </c>
      <c r="X832" s="1"/>
      <c r="Y832" s="1">
        <v>4.5999999999999998E-9</v>
      </c>
      <c r="Z832" s="1"/>
      <c r="AA832" s="1"/>
      <c r="AC832" s="1">
        <v>6.2200000000000004E-7</v>
      </c>
      <c r="AF832" s="2">
        <v>0.23</v>
      </c>
      <c r="AG832" s="2"/>
      <c r="AI832" s="5">
        <v>2.6700000000000001E-3</v>
      </c>
      <c r="AK832" t="s">
        <v>199</v>
      </c>
    </row>
    <row r="833" spans="1:37" hidden="1" x14ac:dyDescent="0.25">
      <c r="A833" t="s">
        <v>158</v>
      </c>
      <c r="B833" t="s">
        <v>159</v>
      </c>
      <c r="C833" t="s">
        <v>160</v>
      </c>
      <c r="D833" t="s">
        <v>89</v>
      </c>
      <c r="E833" t="s">
        <v>17</v>
      </c>
      <c r="F833" t="s">
        <v>618</v>
      </c>
      <c r="G833" t="s">
        <v>618</v>
      </c>
      <c r="H833" t="s">
        <v>801</v>
      </c>
      <c r="I833" t="s">
        <v>804</v>
      </c>
      <c r="K833" t="s">
        <v>671</v>
      </c>
      <c r="L833" t="s">
        <v>36</v>
      </c>
      <c r="M833" t="str">
        <f t="shared" si="119"/>
        <v>Control</v>
      </c>
      <c r="N833" t="s">
        <v>487</v>
      </c>
      <c r="O833" t="s">
        <v>707</v>
      </c>
      <c r="R833" t="s">
        <v>408</v>
      </c>
      <c r="S833" t="s">
        <v>701</v>
      </c>
      <c r="T833" t="s">
        <v>695</v>
      </c>
      <c r="U833" t="s">
        <v>609</v>
      </c>
      <c r="V833" s="1" t="s">
        <v>733</v>
      </c>
      <c r="W833" s="1">
        <f t="shared" ref="W833:W842" si="121">+AB833*AD833/10000</f>
        <v>1.6991999999999999E-10</v>
      </c>
      <c r="X833" s="1"/>
      <c r="Y833" s="1"/>
      <c r="Z833" s="1"/>
      <c r="AA833" s="1"/>
      <c r="AB833" s="1">
        <v>1.44E-8</v>
      </c>
      <c r="AD833">
        <f t="shared" ref="AD833:AD842" si="122">0.0118*10000</f>
        <v>118</v>
      </c>
      <c r="AF833" s="2"/>
      <c r="AG833" s="2"/>
      <c r="AK833" t="s">
        <v>199</v>
      </c>
    </row>
    <row r="834" spans="1:37" hidden="1" x14ac:dyDescent="0.25">
      <c r="A834" t="s">
        <v>158</v>
      </c>
      <c r="B834" t="s">
        <v>159</v>
      </c>
      <c r="C834" t="s">
        <v>160</v>
      </c>
      <c r="D834" t="s">
        <v>89</v>
      </c>
      <c r="E834" t="s">
        <v>17</v>
      </c>
      <c r="F834" t="s">
        <v>618</v>
      </c>
      <c r="G834" t="s">
        <v>618</v>
      </c>
      <c r="H834" t="s">
        <v>801</v>
      </c>
      <c r="I834" t="s">
        <v>804</v>
      </c>
      <c r="K834" t="s">
        <v>671</v>
      </c>
      <c r="L834" t="s">
        <v>36</v>
      </c>
      <c r="M834" t="str">
        <f t="shared" si="119"/>
        <v>Control</v>
      </c>
      <c r="N834" t="s">
        <v>488</v>
      </c>
      <c r="O834" t="s">
        <v>707</v>
      </c>
      <c r="R834" t="s">
        <v>408</v>
      </c>
      <c r="S834" t="s">
        <v>701</v>
      </c>
      <c r="T834" t="s">
        <v>695</v>
      </c>
      <c r="U834" t="s">
        <v>609</v>
      </c>
      <c r="V834" s="1" t="s">
        <v>733</v>
      </c>
      <c r="W834" s="1">
        <f t="shared" si="121"/>
        <v>3.2921999999999998E-10</v>
      </c>
      <c r="X834" s="1"/>
      <c r="Y834" s="1"/>
      <c r="Z834" s="1"/>
      <c r="AA834" s="1"/>
      <c r="AB834" s="1">
        <v>2.7900000000000002E-8</v>
      </c>
      <c r="AD834">
        <f t="shared" si="122"/>
        <v>118</v>
      </c>
      <c r="AF834" s="2"/>
      <c r="AG834" s="2"/>
      <c r="AK834" t="s">
        <v>199</v>
      </c>
    </row>
    <row r="835" spans="1:37" hidden="1" x14ac:dyDescent="0.25">
      <c r="A835" t="s">
        <v>158</v>
      </c>
      <c r="B835" t="s">
        <v>159</v>
      </c>
      <c r="C835" t="s">
        <v>160</v>
      </c>
      <c r="D835" t="s">
        <v>89</v>
      </c>
      <c r="E835" t="s">
        <v>17</v>
      </c>
      <c r="F835" t="s">
        <v>618</v>
      </c>
      <c r="G835" t="s">
        <v>618</v>
      </c>
      <c r="H835" t="s">
        <v>801</v>
      </c>
      <c r="I835" t="s">
        <v>804</v>
      </c>
      <c r="K835" t="s">
        <v>671</v>
      </c>
      <c r="L835" t="s">
        <v>36</v>
      </c>
      <c r="M835" t="str">
        <f t="shared" si="119"/>
        <v>Control</v>
      </c>
      <c r="N835" t="s">
        <v>493</v>
      </c>
      <c r="O835" t="s">
        <v>707</v>
      </c>
      <c r="R835" t="s">
        <v>408</v>
      </c>
      <c r="S835" t="s">
        <v>701</v>
      </c>
      <c r="T835" t="s">
        <v>695</v>
      </c>
      <c r="U835" t="s">
        <v>609</v>
      </c>
      <c r="V835" s="1" t="s">
        <v>733</v>
      </c>
      <c r="W835" s="1">
        <f t="shared" si="121"/>
        <v>5.0032000000000009E-10</v>
      </c>
      <c r="X835" s="1"/>
      <c r="Y835" s="1"/>
      <c r="Z835" s="1"/>
      <c r="AA835" s="1"/>
      <c r="AB835" s="1">
        <v>4.2400000000000002E-8</v>
      </c>
      <c r="AD835">
        <f t="shared" si="122"/>
        <v>118</v>
      </c>
      <c r="AF835" s="2"/>
      <c r="AG835" s="2"/>
      <c r="AK835" t="s">
        <v>199</v>
      </c>
    </row>
    <row r="836" spans="1:37" hidden="1" x14ac:dyDescent="0.25">
      <c r="A836" t="s">
        <v>158</v>
      </c>
      <c r="B836" t="s">
        <v>159</v>
      </c>
      <c r="C836" t="s">
        <v>160</v>
      </c>
      <c r="D836" t="s">
        <v>89</v>
      </c>
      <c r="E836" t="s">
        <v>17</v>
      </c>
      <c r="F836" t="s">
        <v>618</v>
      </c>
      <c r="G836" t="s">
        <v>618</v>
      </c>
      <c r="H836" t="s">
        <v>801</v>
      </c>
      <c r="I836" t="s">
        <v>804</v>
      </c>
      <c r="K836" t="s">
        <v>671</v>
      </c>
      <c r="L836" t="s">
        <v>36</v>
      </c>
      <c r="M836" t="str">
        <f t="shared" si="119"/>
        <v>Control</v>
      </c>
      <c r="N836" t="s">
        <v>489</v>
      </c>
      <c r="O836" t="s">
        <v>707</v>
      </c>
      <c r="R836" t="s">
        <v>408</v>
      </c>
      <c r="S836" t="s">
        <v>701</v>
      </c>
      <c r="T836" t="s">
        <v>695</v>
      </c>
      <c r="U836" t="s">
        <v>609</v>
      </c>
      <c r="V836" s="1" t="s">
        <v>733</v>
      </c>
      <c r="W836" s="1">
        <f t="shared" si="121"/>
        <v>4.3070000000000002E-10</v>
      </c>
      <c r="X836" s="1"/>
      <c r="Y836" s="1"/>
      <c r="Z836" s="1"/>
      <c r="AA836" s="1"/>
      <c r="AB836" s="1">
        <v>3.6500000000000003E-8</v>
      </c>
      <c r="AD836">
        <f t="shared" si="122"/>
        <v>118</v>
      </c>
      <c r="AF836" s="2"/>
      <c r="AG836" s="2"/>
      <c r="AK836" t="s">
        <v>199</v>
      </c>
    </row>
    <row r="837" spans="1:37" hidden="1" x14ac:dyDescent="0.25">
      <c r="A837" t="s">
        <v>158</v>
      </c>
      <c r="B837" t="s">
        <v>159</v>
      </c>
      <c r="C837" t="s">
        <v>160</v>
      </c>
      <c r="D837" t="s">
        <v>89</v>
      </c>
      <c r="E837" t="s">
        <v>17</v>
      </c>
      <c r="F837" t="s">
        <v>618</v>
      </c>
      <c r="G837" t="s">
        <v>618</v>
      </c>
      <c r="H837" t="s">
        <v>801</v>
      </c>
      <c r="I837" t="s">
        <v>804</v>
      </c>
      <c r="K837" t="s">
        <v>671</v>
      </c>
      <c r="L837" t="s">
        <v>36</v>
      </c>
      <c r="M837" t="str">
        <f t="shared" si="119"/>
        <v>Control</v>
      </c>
      <c r="N837" t="s">
        <v>490</v>
      </c>
      <c r="O837" t="s">
        <v>707</v>
      </c>
      <c r="R837" t="s">
        <v>408</v>
      </c>
      <c r="S837" t="s">
        <v>701</v>
      </c>
      <c r="T837" t="s">
        <v>695</v>
      </c>
      <c r="U837" t="s">
        <v>609</v>
      </c>
      <c r="V837" s="1" t="s">
        <v>733</v>
      </c>
      <c r="W837" s="1">
        <f t="shared" si="121"/>
        <v>1.1564000000000003E-10</v>
      </c>
      <c r="X837" s="1"/>
      <c r="Y837" s="1"/>
      <c r="Z837" s="1"/>
      <c r="AA837" s="1"/>
      <c r="AB837" s="1">
        <v>9.8000000000000017E-9</v>
      </c>
      <c r="AD837">
        <f t="shared" si="122"/>
        <v>118</v>
      </c>
      <c r="AF837" s="2"/>
      <c r="AG837" s="2"/>
      <c r="AK837" t="s">
        <v>199</v>
      </c>
    </row>
    <row r="838" spans="1:37" hidden="1" x14ac:dyDescent="0.25">
      <c r="A838" t="s">
        <v>158</v>
      </c>
      <c r="B838" t="s">
        <v>159</v>
      </c>
      <c r="C838" t="s">
        <v>160</v>
      </c>
      <c r="D838" t="s">
        <v>89</v>
      </c>
      <c r="E838" t="s">
        <v>17</v>
      </c>
      <c r="F838" t="s">
        <v>618</v>
      </c>
      <c r="G838" t="s">
        <v>618</v>
      </c>
      <c r="H838" t="s">
        <v>801</v>
      </c>
      <c r="I838" t="s">
        <v>804</v>
      </c>
      <c r="K838" t="s">
        <v>671</v>
      </c>
      <c r="L838" t="s">
        <v>495</v>
      </c>
      <c r="M838" t="str">
        <f t="shared" si="119"/>
        <v>Stress</v>
      </c>
      <c r="N838" t="s">
        <v>487</v>
      </c>
      <c r="O838" t="s">
        <v>707</v>
      </c>
      <c r="R838" t="s">
        <v>408</v>
      </c>
      <c r="S838" t="s">
        <v>701</v>
      </c>
      <c r="T838" t="s">
        <v>695</v>
      </c>
      <c r="U838" t="s">
        <v>609</v>
      </c>
      <c r="V838" s="1" t="s">
        <v>733</v>
      </c>
      <c r="W838" s="1">
        <f t="shared" si="121"/>
        <v>2.5134000000000003E-10</v>
      </c>
      <c r="X838" s="1"/>
      <c r="Y838" s="1"/>
      <c r="Z838" s="1"/>
      <c r="AA838" s="1"/>
      <c r="AB838" s="1">
        <v>2.1300000000000002E-8</v>
      </c>
      <c r="AD838">
        <f t="shared" si="122"/>
        <v>118</v>
      </c>
      <c r="AF838" s="2"/>
      <c r="AG838" s="2"/>
      <c r="AK838" t="s">
        <v>199</v>
      </c>
    </row>
    <row r="839" spans="1:37" hidden="1" x14ac:dyDescent="0.25">
      <c r="A839" t="s">
        <v>158</v>
      </c>
      <c r="B839" t="s">
        <v>159</v>
      </c>
      <c r="C839" t="s">
        <v>160</v>
      </c>
      <c r="D839" t="s">
        <v>89</v>
      </c>
      <c r="E839" t="s">
        <v>17</v>
      </c>
      <c r="F839" t="s">
        <v>618</v>
      </c>
      <c r="G839" t="s">
        <v>618</v>
      </c>
      <c r="H839" t="s">
        <v>801</v>
      </c>
      <c r="I839" t="s">
        <v>804</v>
      </c>
      <c r="K839" t="s">
        <v>671</v>
      </c>
      <c r="L839" t="s">
        <v>495</v>
      </c>
      <c r="M839" t="str">
        <f t="shared" si="119"/>
        <v>Stress</v>
      </c>
      <c r="N839" t="s">
        <v>488</v>
      </c>
      <c r="O839" t="s">
        <v>707</v>
      </c>
      <c r="R839" t="s">
        <v>408</v>
      </c>
      <c r="S839" t="s">
        <v>701</v>
      </c>
      <c r="T839" t="s">
        <v>695</v>
      </c>
      <c r="U839" t="s">
        <v>609</v>
      </c>
      <c r="V839" s="1" t="s">
        <v>733</v>
      </c>
      <c r="W839" s="1">
        <f t="shared" si="121"/>
        <v>5.6640000000000003E-10</v>
      </c>
      <c r="X839" s="1"/>
      <c r="Y839" s="1"/>
      <c r="Z839" s="1"/>
      <c r="AA839" s="1"/>
      <c r="AB839" s="1">
        <v>4.8000000000000006E-8</v>
      </c>
      <c r="AD839">
        <f t="shared" si="122"/>
        <v>118</v>
      </c>
      <c r="AF839" s="2"/>
      <c r="AG839" s="2"/>
      <c r="AK839" t="s">
        <v>199</v>
      </c>
    </row>
    <row r="840" spans="1:37" hidden="1" x14ac:dyDescent="0.25">
      <c r="A840" t="s">
        <v>158</v>
      </c>
      <c r="B840" t="s">
        <v>159</v>
      </c>
      <c r="C840" t="s">
        <v>160</v>
      </c>
      <c r="D840" t="s">
        <v>89</v>
      </c>
      <c r="E840" t="s">
        <v>17</v>
      </c>
      <c r="F840" t="s">
        <v>618</v>
      </c>
      <c r="G840" t="s">
        <v>618</v>
      </c>
      <c r="H840" t="s">
        <v>801</v>
      </c>
      <c r="I840" t="s">
        <v>804</v>
      </c>
      <c r="K840" t="s">
        <v>671</v>
      </c>
      <c r="L840" t="s">
        <v>495</v>
      </c>
      <c r="M840" t="str">
        <f t="shared" si="119"/>
        <v>Stress</v>
      </c>
      <c r="N840" t="s">
        <v>493</v>
      </c>
      <c r="O840" t="s">
        <v>707</v>
      </c>
      <c r="R840" t="s">
        <v>408</v>
      </c>
      <c r="S840" t="s">
        <v>701</v>
      </c>
      <c r="T840" t="s">
        <v>695</v>
      </c>
      <c r="U840" t="s">
        <v>609</v>
      </c>
      <c r="V840" s="1" t="s">
        <v>733</v>
      </c>
      <c r="W840" s="1">
        <f t="shared" si="121"/>
        <v>6.1714E-10</v>
      </c>
      <c r="X840" s="1"/>
      <c r="Y840" s="1"/>
      <c r="Z840" s="1"/>
      <c r="AA840" s="1"/>
      <c r="AB840" s="1">
        <v>5.2299999999999998E-8</v>
      </c>
      <c r="AD840">
        <f t="shared" si="122"/>
        <v>118</v>
      </c>
      <c r="AF840" s="2"/>
      <c r="AG840" s="2"/>
      <c r="AK840" t="s">
        <v>199</v>
      </c>
    </row>
    <row r="841" spans="1:37" hidden="1" x14ac:dyDescent="0.25">
      <c r="A841" t="s">
        <v>158</v>
      </c>
      <c r="B841" t="s">
        <v>159</v>
      </c>
      <c r="C841" t="s">
        <v>160</v>
      </c>
      <c r="D841" t="s">
        <v>89</v>
      </c>
      <c r="E841" t="s">
        <v>17</v>
      </c>
      <c r="F841" t="s">
        <v>618</v>
      </c>
      <c r="G841" t="s">
        <v>618</v>
      </c>
      <c r="H841" t="s">
        <v>801</v>
      </c>
      <c r="I841" t="s">
        <v>804</v>
      </c>
      <c r="K841" t="s">
        <v>671</v>
      </c>
      <c r="L841" t="s">
        <v>495</v>
      </c>
      <c r="M841" t="str">
        <f t="shared" si="119"/>
        <v>Stress</v>
      </c>
      <c r="N841" t="s">
        <v>489</v>
      </c>
      <c r="O841" t="s">
        <v>707</v>
      </c>
      <c r="R841" t="s">
        <v>408</v>
      </c>
      <c r="S841" t="s">
        <v>701</v>
      </c>
      <c r="T841" t="s">
        <v>695</v>
      </c>
      <c r="U841" t="s">
        <v>609</v>
      </c>
      <c r="V841" s="1" t="s">
        <v>733</v>
      </c>
      <c r="W841" s="1">
        <f t="shared" si="121"/>
        <v>5.5578000000000002E-10</v>
      </c>
      <c r="X841" s="1"/>
      <c r="Y841" s="1"/>
      <c r="Z841" s="1"/>
      <c r="AA841" s="1"/>
      <c r="AB841" s="1">
        <v>4.7100000000000005E-8</v>
      </c>
      <c r="AD841">
        <f t="shared" si="122"/>
        <v>118</v>
      </c>
      <c r="AF841" s="2"/>
      <c r="AG841" s="2"/>
      <c r="AK841" t="s">
        <v>199</v>
      </c>
    </row>
    <row r="842" spans="1:37" hidden="1" x14ac:dyDescent="0.25">
      <c r="A842" t="s">
        <v>158</v>
      </c>
      <c r="B842" t="s">
        <v>159</v>
      </c>
      <c r="C842" t="s">
        <v>160</v>
      </c>
      <c r="D842" t="s">
        <v>89</v>
      </c>
      <c r="E842" t="s">
        <v>17</v>
      </c>
      <c r="F842" t="s">
        <v>618</v>
      </c>
      <c r="G842" t="s">
        <v>618</v>
      </c>
      <c r="H842" t="s">
        <v>801</v>
      </c>
      <c r="I842" t="s">
        <v>804</v>
      </c>
      <c r="K842" t="s">
        <v>671</v>
      </c>
      <c r="L842" t="s">
        <v>495</v>
      </c>
      <c r="M842" t="str">
        <f t="shared" si="119"/>
        <v>Stress</v>
      </c>
      <c r="N842" t="s">
        <v>490</v>
      </c>
      <c r="O842" t="s">
        <v>707</v>
      </c>
      <c r="R842" t="s">
        <v>408</v>
      </c>
      <c r="S842" t="s">
        <v>701</v>
      </c>
      <c r="T842" t="s">
        <v>695</v>
      </c>
      <c r="U842" t="s">
        <v>609</v>
      </c>
      <c r="V842" s="1" t="s">
        <v>733</v>
      </c>
      <c r="W842" s="1">
        <f t="shared" si="121"/>
        <v>1.5930000000000001E-10</v>
      </c>
      <c r="X842" s="1"/>
      <c r="Y842" s="1"/>
      <c r="Z842" s="1"/>
      <c r="AA842" s="1"/>
      <c r="AB842" s="1">
        <v>1.35E-8</v>
      </c>
      <c r="AD842">
        <f t="shared" si="122"/>
        <v>118</v>
      </c>
      <c r="AF842" s="2"/>
      <c r="AG842" s="2"/>
      <c r="AK842" t="s">
        <v>199</v>
      </c>
    </row>
    <row r="843" spans="1:37" hidden="1" x14ac:dyDescent="0.25">
      <c r="A843" t="s">
        <v>330</v>
      </c>
      <c r="B843" t="s">
        <v>356</v>
      </c>
      <c r="C843" t="s">
        <v>298</v>
      </c>
      <c r="D843" t="s">
        <v>34</v>
      </c>
      <c r="E843" t="s">
        <v>17</v>
      </c>
      <c r="F843" t="s">
        <v>614</v>
      </c>
      <c r="G843" t="s">
        <v>614</v>
      </c>
      <c r="H843" t="s">
        <v>801</v>
      </c>
      <c r="I843" t="s">
        <v>804</v>
      </c>
      <c r="J843">
        <f>12+25+2</f>
        <v>39</v>
      </c>
      <c r="K843" t="s">
        <v>81</v>
      </c>
      <c r="L843" t="s">
        <v>36</v>
      </c>
      <c r="M843" t="str">
        <f t="shared" si="119"/>
        <v>Control</v>
      </c>
      <c r="R843" t="s">
        <v>408</v>
      </c>
      <c r="S843" t="s">
        <v>701</v>
      </c>
      <c r="T843" t="s">
        <v>695</v>
      </c>
      <c r="U843" t="s">
        <v>610</v>
      </c>
      <c r="V843" s="1"/>
      <c r="W843" s="1"/>
      <c r="X843" s="1">
        <f>[107]Carvajal_etal_1999_Fig1b!C2</f>
        <v>1.3610358325805472E-10</v>
      </c>
      <c r="Y843" s="1"/>
      <c r="Z843" s="1"/>
      <c r="AA843" s="1"/>
      <c r="AF843" s="2"/>
      <c r="AG843" s="2"/>
      <c r="AK843" t="s">
        <v>348</v>
      </c>
    </row>
    <row r="844" spans="1:37" hidden="1" x14ac:dyDescent="0.25">
      <c r="A844" t="s">
        <v>330</v>
      </c>
      <c r="B844" t="s">
        <v>356</v>
      </c>
      <c r="C844" t="s">
        <v>298</v>
      </c>
      <c r="D844" t="s">
        <v>34</v>
      </c>
      <c r="E844" t="s">
        <v>17</v>
      </c>
      <c r="F844" t="s">
        <v>614</v>
      </c>
      <c r="G844" t="s">
        <v>614</v>
      </c>
      <c r="H844" t="s">
        <v>801</v>
      </c>
      <c r="I844" t="s">
        <v>804</v>
      </c>
      <c r="J844">
        <f>12+25+3</f>
        <v>40</v>
      </c>
      <c r="K844" t="s">
        <v>81</v>
      </c>
      <c r="L844" t="s">
        <v>36</v>
      </c>
      <c r="M844" t="str">
        <f t="shared" si="119"/>
        <v>Control</v>
      </c>
      <c r="R844" t="s">
        <v>408</v>
      </c>
      <c r="S844" t="s">
        <v>701</v>
      </c>
      <c r="T844" t="s">
        <v>695</v>
      </c>
      <c r="U844" t="s">
        <v>610</v>
      </c>
      <c r="V844" s="1"/>
      <c r="W844" s="1"/>
      <c r="X844" s="1">
        <f>[107]Carvajal_etal_1999_Fig1b!C3</f>
        <v>1.9512195121951222E-10</v>
      </c>
      <c r="Y844" s="1"/>
      <c r="Z844" s="1"/>
      <c r="AA844" s="1"/>
      <c r="AF844" s="2"/>
      <c r="AG844" s="2"/>
      <c r="AK844" t="s">
        <v>348</v>
      </c>
    </row>
    <row r="845" spans="1:37" hidden="1" x14ac:dyDescent="0.25">
      <c r="A845" t="s">
        <v>330</v>
      </c>
      <c r="B845" t="s">
        <v>356</v>
      </c>
      <c r="C845" t="s">
        <v>298</v>
      </c>
      <c r="D845" t="s">
        <v>34</v>
      </c>
      <c r="E845" t="s">
        <v>17</v>
      </c>
      <c r="F845" t="s">
        <v>614</v>
      </c>
      <c r="G845" t="s">
        <v>614</v>
      </c>
      <c r="H845" t="s">
        <v>801</v>
      </c>
      <c r="I845" t="s">
        <v>804</v>
      </c>
      <c r="J845">
        <f>12+25+2</f>
        <v>39</v>
      </c>
      <c r="K845" t="s">
        <v>81</v>
      </c>
      <c r="L845" t="s">
        <v>81</v>
      </c>
      <c r="M845" t="str">
        <f t="shared" si="119"/>
        <v>Stress</v>
      </c>
      <c r="R845" t="s">
        <v>408</v>
      </c>
      <c r="S845" t="s">
        <v>701</v>
      </c>
      <c r="T845" t="s">
        <v>695</v>
      </c>
      <c r="U845" t="s">
        <v>610</v>
      </c>
      <c r="V845" s="1"/>
      <c r="W845" s="1"/>
      <c r="X845" s="1">
        <f>[107]Carvajal_etal_1999_Fig1b!C4</f>
        <v>3.0111412225232777E-11</v>
      </c>
      <c r="Y845" s="1"/>
      <c r="Z845" s="1"/>
      <c r="AA845" s="1"/>
      <c r="AF845" s="2"/>
      <c r="AG845" s="2"/>
      <c r="AK845" t="s">
        <v>348</v>
      </c>
    </row>
    <row r="846" spans="1:37" hidden="1" x14ac:dyDescent="0.25">
      <c r="A846" t="s">
        <v>330</v>
      </c>
      <c r="B846" t="s">
        <v>356</v>
      </c>
      <c r="C846" t="s">
        <v>298</v>
      </c>
      <c r="D846" t="s">
        <v>34</v>
      </c>
      <c r="E846" t="s">
        <v>17</v>
      </c>
      <c r="F846" t="s">
        <v>614</v>
      </c>
      <c r="G846" t="s">
        <v>614</v>
      </c>
      <c r="H846" t="s">
        <v>801</v>
      </c>
      <c r="I846" t="s">
        <v>804</v>
      </c>
      <c r="J846">
        <f>12+25+3</f>
        <v>40</v>
      </c>
      <c r="K846" t="s">
        <v>81</v>
      </c>
      <c r="L846" t="s">
        <v>81</v>
      </c>
      <c r="M846" t="str">
        <f t="shared" si="119"/>
        <v>Stress</v>
      </c>
      <c r="R846" t="s">
        <v>408</v>
      </c>
      <c r="S846" t="s">
        <v>701</v>
      </c>
      <c r="T846" t="s">
        <v>695</v>
      </c>
      <c r="U846" t="s">
        <v>610</v>
      </c>
      <c r="V846" s="1"/>
      <c r="W846" s="1"/>
      <c r="X846" s="1">
        <f>[107]Carvajal_etal_1999_Fig1b!C5</f>
        <v>1.5657934357120945E-11</v>
      </c>
      <c r="Y846" s="1"/>
      <c r="Z846" s="1"/>
      <c r="AA846" s="1"/>
      <c r="AF846" s="2"/>
      <c r="AG846" s="2"/>
      <c r="AK846" t="s">
        <v>348</v>
      </c>
    </row>
    <row r="847" spans="1:37" hidden="1" x14ac:dyDescent="0.25">
      <c r="A847" t="s">
        <v>330</v>
      </c>
      <c r="B847" t="s">
        <v>356</v>
      </c>
      <c r="C847" t="s">
        <v>298</v>
      </c>
      <c r="D847" t="s">
        <v>34</v>
      </c>
      <c r="E847" t="s">
        <v>17</v>
      </c>
      <c r="F847" t="s">
        <v>614</v>
      </c>
      <c r="G847" t="s">
        <v>614</v>
      </c>
      <c r="H847" t="s">
        <v>801</v>
      </c>
      <c r="I847" t="s">
        <v>804</v>
      </c>
      <c r="J847">
        <f>12+25+3</f>
        <v>40</v>
      </c>
      <c r="K847" t="s">
        <v>402</v>
      </c>
      <c r="L847" t="s">
        <v>36</v>
      </c>
      <c r="M847" t="str">
        <f t="shared" si="119"/>
        <v>Control</v>
      </c>
      <c r="R847" t="s">
        <v>408</v>
      </c>
      <c r="S847" t="s">
        <v>701</v>
      </c>
      <c r="T847" t="s">
        <v>695</v>
      </c>
      <c r="U847" t="s">
        <v>610</v>
      </c>
      <c r="V847" s="1"/>
      <c r="W847" s="1"/>
      <c r="X847" s="1">
        <f>[108]Carvajal_etal_1999_Fig3b!C2</f>
        <v>2.4987181004220388E-10</v>
      </c>
      <c r="Y847" s="1"/>
      <c r="Z847" s="1"/>
      <c r="AA847" s="1"/>
      <c r="AF847" s="2"/>
      <c r="AG847" s="2"/>
      <c r="AK847" t="s">
        <v>348</v>
      </c>
    </row>
    <row r="848" spans="1:37" hidden="1" x14ac:dyDescent="0.25">
      <c r="A848" t="s">
        <v>330</v>
      </c>
      <c r="B848" t="s">
        <v>356</v>
      </c>
      <c r="C848" t="s">
        <v>298</v>
      </c>
      <c r="D848" t="s">
        <v>34</v>
      </c>
      <c r="E848" t="s">
        <v>17</v>
      </c>
      <c r="F848" t="s">
        <v>614</v>
      </c>
      <c r="G848" t="s">
        <v>614</v>
      </c>
      <c r="H848" t="s">
        <v>801</v>
      </c>
      <c r="I848" t="s">
        <v>804</v>
      </c>
      <c r="J848">
        <f>12+25+3</f>
        <v>40</v>
      </c>
      <c r="K848" t="s">
        <v>402</v>
      </c>
      <c r="L848" t="s">
        <v>703</v>
      </c>
      <c r="M848" t="str">
        <f t="shared" si="119"/>
        <v>Stress</v>
      </c>
      <c r="R848" t="s">
        <v>408</v>
      </c>
      <c r="S848" t="s">
        <v>701</v>
      </c>
      <c r="T848" t="s">
        <v>695</v>
      </c>
      <c r="U848" t="s">
        <v>610</v>
      </c>
      <c r="V848" s="1"/>
      <c r="W848" s="1"/>
      <c r="X848" s="1">
        <f>[108]Carvajal_etal_1999_Fig3b!C3</f>
        <v>1.0442551177375445E-10</v>
      </c>
      <c r="Y848" s="1"/>
      <c r="Z848" s="1"/>
      <c r="AA848" s="1"/>
      <c r="AF848" s="2"/>
      <c r="AG848" s="2"/>
      <c r="AK848" t="s">
        <v>348</v>
      </c>
    </row>
    <row r="849" spans="1:37" hidden="1" x14ac:dyDescent="0.25">
      <c r="A849" t="s">
        <v>161</v>
      </c>
      <c r="B849" t="s">
        <v>50</v>
      </c>
      <c r="C849" t="s">
        <v>51</v>
      </c>
      <c r="D849" t="s">
        <v>16</v>
      </c>
      <c r="E849" t="s">
        <v>29</v>
      </c>
      <c r="F849" t="s">
        <v>30</v>
      </c>
      <c r="G849" t="s">
        <v>30</v>
      </c>
      <c r="H849" t="s">
        <v>30</v>
      </c>
      <c r="I849" t="s">
        <v>704</v>
      </c>
      <c r="J849">
        <v>14</v>
      </c>
      <c r="K849" t="s">
        <v>738</v>
      </c>
      <c r="L849" t="s">
        <v>162</v>
      </c>
      <c r="M849" t="s">
        <v>707</v>
      </c>
      <c r="R849" t="s">
        <v>408</v>
      </c>
      <c r="S849" t="s">
        <v>701</v>
      </c>
      <c r="T849" t="s">
        <v>695</v>
      </c>
      <c r="U849" t="s">
        <v>609</v>
      </c>
      <c r="V849" s="1" t="s">
        <v>733</v>
      </c>
      <c r="W849" s="1">
        <f t="shared" ref="W849:W862" si="123">+AB849*AD849/10000</f>
        <v>1.4999999999999998E-9</v>
      </c>
      <c r="X849" s="1"/>
      <c r="Y849" s="1"/>
      <c r="Z849" s="1"/>
      <c r="AA849" s="1"/>
      <c r="AB849" s="1">
        <v>4.9999999999999998E-7</v>
      </c>
      <c r="AD849">
        <v>30</v>
      </c>
      <c r="AF849" s="2"/>
      <c r="AG849" s="2"/>
      <c r="AK849" t="s">
        <v>199</v>
      </c>
    </row>
    <row r="850" spans="1:37" hidden="1" x14ac:dyDescent="0.25">
      <c r="A850" t="s">
        <v>161</v>
      </c>
      <c r="B850" t="s">
        <v>50</v>
      </c>
      <c r="C850" t="s">
        <v>51</v>
      </c>
      <c r="D850" t="s">
        <v>16</v>
      </c>
      <c r="E850" t="s">
        <v>29</v>
      </c>
      <c r="F850" t="s">
        <v>30</v>
      </c>
      <c r="G850" t="s">
        <v>30</v>
      </c>
      <c r="H850" t="s">
        <v>30</v>
      </c>
      <c r="I850" t="s">
        <v>704</v>
      </c>
      <c r="J850">
        <v>14</v>
      </c>
      <c r="K850" t="s">
        <v>738</v>
      </c>
      <c r="L850" t="s">
        <v>162</v>
      </c>
      <c r="M850" t="s">
        <v>707</v>
      </c>
      <c r="R850" t="s">
        <v>408</v>
      </c>
      <c r="S850" t="s">
        <v>701</v>
      </c>
      <c r="T850" t="s">
        <v>695</v>
      </c>
      <c r="U850" t="s">
        <v>609</v>
      </c>
      <c r="V850" s="1" t="s">
        <v>733</v>
      </c>
      <c r="W850" s="1">
        <f t="shared" si="123"/>
        <v>1.7220000000000001E-9</v>
      </c>
      <c r="X850" s="1"/>
      <c r="Y850" s="1"/>
      <c r="Z850" s="1"/>
      <c r="AA850" s="1"/>
      <c r="AB850" s="1">
        <v>4.2E-7</v>
      </c>
      <c r="AD850">
        <v>41</v>
      </c>
      <c r="AF850" s="2"/>
      <c r="AG850" s="2"/>
      <c r="AK850" t="s">
        <v>199</v>
      </c>
    </row>
    <row r="851" spans="1:37" hidden="1" x14ac:dyDescent="0.25">
      <c r="A851" t="s">
        <v>161</v>
      </c>
      <c r="B851" t="s">
        <v>50</v>
      </c>
      <c r="C851" t="s">
        <v>51</v>
      </c>
      <c r="D851" t="s">
        <v>16</v>
      </c>
      <c r="E851" t="s">
        <v>29</v>
      </c>
      <c r="F851" t="s">
        <v>30</v>
      </c>
      <c r="G851" t="s">
        <v>30</v>
      </c>
      <c r="H851" t="s">
        <v>30</v>
      </c>
      <c r="I851" t="s">
        <v>704</v>
      </c>
      <c r="J851">
        <v>16</v>
      </c>
      <c r="K851" t="s">
        <v>738</v>
      </c>
      <c r="L851" t="s">
        <v>162</v>
      </c>
      <c r="M851" t="s">
        <v>707</v>
      </c>
      <c r="R851" t="s">
        <v>408</v>
      </c>
      <c r="S851" t="s">
        <v>701</v>
      </c>
      <c r="T851" t="s">
        <v>695</v>
      </c>
      <c r="U851" t="s">
        <v>609</v>
      </c>
      <c r="V851" s="1" t="s">
        <v>733</v>
      </c>
      <c r="W851" s="1">
        <f t="shared" si="123"/>
        <v>1.8809999999999996E-9</v>
      </c>
      <c r="X851" s="1"/>
      <c r="Y851" s="1"/>
      <c r="Z851" s="1"/>
      <c r="AA851" s="1"/>
      <c r="AB851" s="1">
        <v>3.2999999999999996E-7</v>
      </c>
      <c r="AD851">
        <v>57</v>
      </c>
      <c r="AF851" s="2"/>
      <c r="AG851" s="2"/>
      <c r="AK851" t="s">
        <v>199</v>
      </c>
    </row>
    <row r="852" spans="1:37" hidden="1" x14ac:dyDescent="0.25">
      <c r="A852" t="s">
        <v>161</v>
      </c>
      <c r="B852" t="s">
        <v>50</v>
      </c>
      <c r="C852" t="s">
        <v>51</v>
      </c>
      <c r="D852" t="s">
        <v>16</v>
      </c>
      <c r="E852" t="s">
        <v>29</v>
      </c>
      <c r="F852" t="s">
        <v>30</v>
      </c>
      <c r="G852" t="s">
        <v>30</v>
      </c>
      <c r="H852" t="s">
        <v>30</v>
      </c>
      <c r="I852" t="s">
        <v>704</v>
      </c>
      <c r="J852">
        <v>15</v>
      </c>
      <c r="K852" t="s">
        <v>738</v>
      </c>
      <c r="L852" t="s">
        <v>162</v>
      </c>
      <c r="M852" t="s">
        <v>707</v>
      </c>
      <c r="R852" t="s">
        <v>408</v>
      </c>
      <c r="S852" t="s">
        <v>701</v>
      </c>
      <c r="T852" t="s">
        <v>695</v>
      </c>
      <c r="U852" t="s">
        <v>609</v>
      </c>
      <c r="V852" s="1" t="s">
        <v>733</v>
      </c>
      <c r="W852" s="1">
        <f t="shared" si="123"/>
        <v>2.6249999999999999E-9</v>
      </c>
      <c r="X852" s="1"/>
      <c r="Y852" s="1"/>
      <c r="Z852" s="1"/>
      <c r="AA852" s="1"/>
      <c r="AB852" s="1">
        <v>2.4999999999999999E-7</v>
      </c>
      <c r="AD852">
        <v>105</v>
      </c>
      <c r="AF852" s="2"/>
      <c r="AG852" s="2"/>
      <c r="AK852" t="s">
        <v>199</v>
      </c>
    </row>
    <row r="853" spans="1:37" hidden="1" x14ac:dyDescent="0.25">
      <c r="A853" t="s">
        <v>161</v>
      </c>
      <c r="B853" t="s">
        <v>50</v>
      </c>
      <c r="C853" t="s">
        <v>51</v>
      </c>
      <c r="D853" t="s">
        <v>16</v>
      </c>
      <c r="E853" t="s">
        <v>29</v>
      </c>
      <c r="F853" t="s">
        <v>30</v>
      </c>
      <c r="G853" t="s">
        <v>30</v>
      </c>
      <c r="H853" t="s">
        <v>30</v>
      </c>
      <c r="I853" t="s">
        <v>704</v>
      </c>
      <c r="J853">
        <v>14</v>
      </c>
      <c r="K853" t="s">
        <v>738</v>
      </c>
      <c r="L853" t="s">
        <v>162</v>
      </c>
      <c r="M853" t="s">
        <v>707</v>
      </c>
      <c r="R853" t="s">
        <v>408</v>
      </c>
      <c r="S853" t="s">
        <v>701</v>
      </c>
      <c r="T853" t="s">
        <v>695</v>
      </c>
      <c r="U853" t="s">
        <v>609</v>
      </c>
      <c r="V853" s="1" t="s">
        <v>733</v>
      </c>
      <c r="W853" s="1">
        <f t="shared" si="123"/>
        <v>7.6799999999999993E-10</v>
      </c>
      <c r="X853" s="1"/>
      <c r="Y853" s="1"/>
      <c r="Z853" s="1"/>
      <c r="AA853" s="1"/>
      <c r="AB853" s="1">
        <v>1.1999999999999999E-7</v>
      </c>
      <c r="AD853">
        <v>64</v>
      </c>
      <c r="AF853" s="2"/>
      <c r="AG853" s="2"/>
      <c r="AK853" t="s">
        <v>199</v>
      </c>
    </row>
    <row r="854" spans="1:37" hidden="1" x14ac:dyDescent="0.25">
      <c r="A854" t="s">
        <v>161</v>
      </c>
      <c r="B854" t="s">
        <v>50</v>
      </c>
      <c r="C854" t="s">
        <v>51</v>
      </c>
      <c r="D854" t="s">
        <v>16</v>
      </c>
      <c r="E854" t="s">
        <v>29</v>
      </c>
      <c r="F854" t="s">
        <v>30</v>
      </c>
      <c r="G854" t="s">
        <v>30</v>
      </c>
      <c r="H854" t="s">
        <v>30</v>
      </c>
      <c r="I854" t="s">
        <v>704</v>
      </c>
      <c r="J854">
        <v>12</v>
      </c>
      <c r="K854" t="s">
        <v>738</v>
      </c>
      <c r="L854" t="s">
        <v>162</v>
      </c>
      <c r="M854" t="s">
        <v>707</v>
      </c>
      <c r="R854" t="s">
        <v>408</v>
      </c>
      <c r="S854" t="s">
        <v>701</v>
      </c>
      <c r="T854" t="s">
        <v>695</v>
      </c>
      <c r="U854" t="s">
        <v>609</v>
      </c>
      <c r="V854" s="1" t="s">
        <v>733</v>
      </c>
      <c r="W854" s="1">
        <f t="shared" si="123"/>
        <v>1.2799999999999999E-9</v>
      </c>
      <c r="X854" s="1"/>
      <c r="Y854" s="1"/>
      <c r="Z854" s="1"/>
      <c r="AA854" s="1"/>
      <c r="AB854" s="1">
        <v>1.9999999999999999E-7</v>
      </c>
      <c r="AD854">
        <v>64</v>
      </c>
      <c r="AF854" s="2"/>
      <c r="AG854" s="2"/>
      <c r="AK854" t="s">
        <v>199</v>
      </c>
    </row>
    <row r="855" spans="1:37" hidden="1" x14ac:dyDescent="0.25">
      <c r="A855" t="s">
        <v>161</v>
      </c>
      <c r="B855" t="s">
        <v>50</v>
      </c>
      <c r="C855" t="s">
        <v>51</v>
      </c>
      <c r="D855" t="s">
        <v>16</v>
      </c>
      <c r="E855" t="s">
        <v>29</v>
      </c>
      <c r="F855" t="s">
        <v>30</v>
      </c>
      <c r="G855" t="s">
        <v>30</v>
      </c>
      <c r="H855" t="s">
        <v>30</v>
      </c>
      <c r="I855" t="s">
        <v>704</v>
      </c>
      <c r="J855">
        <v>19</v>
      </c>
      <c r="K855" t="s">
        <v>738</v>
      </c>
      <c r="L855" t="s">
        <v>162</v>
      </c>
      <c r="M855" t="s">
        <v>707</v>
      </c>
      <c r="R855" t="s">
        <v>408</v>
      </c>
      <c r="S855" t="s">
        <v>701</v>
      </c>
      <c r="T855" t="s">
        <v>695</v>
      </c>
      <c r="U855" t="s">
        <v>609</v>
      </c>
      <c r="V855" s="1" t="s">
        <v>733</v>
      </c>
      <c r="W855" s="1">
        <f t="shared" si="123"/>
        <v>3.248E-9</v>
      </c>
      <c r="X855" s="1"/>
      <c r="Y855" s="1"/>
      <c r="Z855" s="1"/>
      <c r="AA855" s="1"/>
      <c r="AB855" s="1">
        <v>2.8999999999999998E-7</v>
      </c>
      <c r="AD855">
        <v>112</v>
      </c>
      <c r="AF855" s="2"/>
      <c r="AG855" s="2"/>
      <c r="AK855" t="s">
        <v>199</v>
      </c>
    </row>
    <row r="856" spans="1:37" hidden="1" x14ac:dyDescent="0.25">
      <c r="A856" t="s">
        <v>161</v>
      </c>
      <c r="B856" t="s">
        <v>50</v>
      </c>
      <c r="C856" t="s">
        <v>51</v>
      </c>
      <c r="D856" t="s">
        <v>16</v>
      </c>
      <c r="E856" t="s">
        <v>29</v>
      </c>
      <c r="F856" t="s">
        <v>30</v>
      </c>
      <c r="G856" t="s">
        <v>30</v>
      </c>
      <c r="H856" t="s">
        <v>30</v>
      </c>
      <c r="I856" t="s">
        <v>704</v>
      </c>
      <c r="J856">
        <v>13</v>
      </c>
      <c r="K856" t="s">
        <v>738</v>
      </c>
      <c r="L856" t="s">
        <v>162</v>
      </c>
      <c r="M856" t="s">
        <v>707</v>
      </c>
      <c r="R856" t="s">
        <v>408</v>
      </c>
      <c r="S856" t="s">
        <v>701</v>
      </c>
      <c r="T856" t="s">
        <v>695</v>
      </c>
      <c r="U856" t="s">
        <v>609</v>
      </c>
      <c r="V856" s="1" t="s">
        <v>733</v>
      </c>
      <c r="W856" s="1">
        <f t="shared" si="123"/>
        <v>1.8879999999999997E-9</v>
      </c>
      <c r="X856" s="1"/>
      <c r="Y856" s="1"/>
      <c r="Z856" s="1"/>
      <c r="AA856" s="1"/>
      <c r="AB856" s="1">
        <v>1.6E-7</v>
      </c>
      <c r="AD856">
        <v>118</v>
      </c>
      <c r="AF856" s="2"/>
      <c r="AG856" s="2"/>
      <c r="AK856" t="s">
        <v>199</v>
      </c>
    </row>
    <row r="857" spans="1:37" hidden="1" x14ac:dyDescent="0.25">
      <c r="A857" t="s">
        <v>161</v>
      </c>
      <c r="B857" t="s">
        <v>50</v>
      </c>
      <c r="C857" t="s">
        <v>51</v>
      </c>
      <c r="D857" t="s">
        <v>16</v>
      </c>
      <c r="E857" t="s">
        <v>29</v>
      </c>
      <c r="F857" t="s">
        <v>30</v>
      </c>
      <c r="G857" t="s">
        <v>30</v>
      </c>
      <c r="H857" t="s">
        <v>30</v>
      </c>
      <c r="I857" t="s">
        <v>704</v>
      </c>
      <c r="J857">
        <v>15</v>
      </c>
      <c r="K857" t="s">
        <v>738</v>
      </c>
      <c r="L857" t="s">
        <v>163</v>
      </c>
      <c r="M857" t="s">
        <v>707</v>
      </c>
      <c r="R857" t="s">
        <v>408</v>
      </c>
      <c r="S857" t="s">
        <v>701</v>
      </c>
      <c r="T857" t="s">
        <v>695</v>
      </c>
      <c r="U857" t="s">
        <v>609</v>
      </c>
      <c r="V857" s="1" t="s">
        <v>733</v>
      </c>
      <c r="W857" s="1">
        <f t="shared" si="123"/>
        <v>9.4600000000000004E-10</v>
      </c>
      <c r="X857" s="1"/>
      <c r="Y857" s="1"/>
      <c r="Z857" s="1"/>
      <c r="AA857" s="1"/>
      <c r="AB857" s="1">
        <v>5.5000000000000003E-8</v>
      </c>
      <c r="AD857">
        <v>172</v>
      </c>
      <c r="AF857" s="2"/>
      <c r="AG857" s="2"/>
      <c r="AK857" t="s">
        <v>199</v>
      </c>
    </row>
    <row r="858" spans="1:37" hidden="1" x14ac:dyDescent="0.25">
      <c r="A858" t="s">
        <v>161</v>
      </c>
      <c r="B858" t="s">
        <v>50</v>
      </c>
      <c r="C858" t="s">
        <v>51</v>
      </c>
      <c r="D858" t="s">
        <v>16</v>
      </c>
      <c r="E858" t="s">
        <v>29</v>
      </c>
      <c r="F858" t="s">
        <v>30</v>
      </c>
      <c r="G858" t="s">
        <v>30</v>
      </c>
      <c r="H858" t="s">
        <v>30</v>
      </c>
      <c r="I858" t="s">
        <v>704</v>
      </c>
      <c r="J858">
        <v>20</v>
      </c>
      <c r="K858" t="s">
        <v>738</v>
      </c>
      <c r="L858" t="s">
        <v>163</v>
      </c>
      <c r="M858" t="s">
        <v>707</v>
      </c>
      <c r="R858" t="s">
        <v>408</v>
      </c>
      <c r="S858" t="s">
        <v>701</v>
      </c>
      <c r="T858" t="s">
        <v>695</v>
      </c>
      <c r="U858" t="s">
        <v>609</v>
      </c>
      <c r="V858" s="1" t="s">
        <v>733</v>
      </c>
      <c r="W858" s="1">
        <f t="shared" si="123"/>
        <v>3.0103999999999994E-9</v>
      </c>
      <c r="X858" s="1"/>
      <c r="Y858" s="1"/>
      <c r="Z858" s="1"/>
      <c r="AA858" s="1"/>
      <c r="AB858" s="1">
        <v>7.0999999999999987E-8</v>
      </c>
      <c r="AD858">
        <v>424</v>
      </c>
      <c r="AF858" s="2"/>
      <c r="AG858" s="2"/>
      <c r="AK858" t="s">
        <v>199</v>
      </c>
    </row>
    <row r="859" spans="1:37" hidden="1" x14ac:dyDescent="0.25">
      <c r="A859" t="s">
        <v>161</v>
      </c>
      <c r="B859" t="s">
        <v>50</v>
      </c>
      <c r="C859" t="s">
        <v>51</v>
      </c>
      <c r="D859" t="s">
        <v>16</v>
      </c>
      <c r="E859" t="s">
        <v>29</v>
      </c>
      <c r="F859" t="s">
        <v>30</v>
      </c>
      <c r="G859" t="s">
        <v>30</v>
      </c>
      <c r="H859" t="s">
        <v>30</v>
      </c>
      <c r="I859" t="s">
        <v>704</v>
      </c>
      <c r="J859">
        <v>14</v>
      </c>
      <c r="K859" t="s">
        <v>738</v>
      </c>
      <c r="L859" t="s">
        <v>163</v>
      </c>
      <c r="M859" t="s">
        <v>707</v>
      </c>
      <c r="R859" t="s">
        <v>408</v>
      </c>
      <c r="S859" t="s">
        <v>701</v>
      </c>
      <c r="T859" t="s">
        <v>695</v>
      </c>
      <c r="U859" t="s">
        <v>609</v>
      </c>
      <c r="V859" s="1" t="s">
        <v>733</v>
      </c>
      <c r="W859" s="1">
        <f t="shared" si="123"/>
        <v>1.312E-9</v>
      </c>
      <c r="X859" s="1"/>
      <c r="Y859" s="1"/>
      <c r="Z859" s="1"/>
      <c r="AA859" s="1"/>
      <c r="AB859" s="1">
        <v>8.0000000000000002E-8</v>
      </c>
      <c r="AD859">
        <v>164</v>
      </c>
      <c r="AF859" s="2"/>
      <c r="AG859" s="2"/>
      <c r="AK859" t="s">
        <v>199</v>
      </c>
    </row>
    <row r="860" spans="1:37" hidden="1" x14ac:dyDescent="0.25">
      <c r="A860" t="s">
        <v>161</v>
      </c>
      <c r="B860" t="s">
        <v>50</v>
      </c>
      <c r="C860" t="s">
        <v>51</v>
      </c>
      <c r="D860" t="s">
        <v>16</v>
      </c>
      <c r="E860" t="s">
        <v>29</v>
      </c>
      <c r="F860" t="s">
        <v>30</v>
      </c>
      <c r="G860" t="s">
        <v>30</v>
      </c>
      <c r="H860" t="s">
        <v>30</v>
      </c>
      <c r="I860" t="s">
        <v>704</v>
      </c>
      <c r="J860">
        <v>12</v>
      </c>
      <c r="K860" t="s">
        <v>738</v>
      </c>
      <c r="L860" t="s">
        <v>163</v>
      </c>
      <c r="M860" t="s">
        <v>707</v>
      </c>
      <c r="R860" t="s">
        <v>408</v>
      </c>
      <c r="S860" t="s">
        <v>701</v>
      </c>
      <c r="T860" t="s">
        <v>695</v>
      </c>
      <c r="U860" t="s">
        <v>609</v>
      </c>
      <c r="V860" s="1" t="s">
        <v>733</v>
      </c>
      <c r="W860" s="1">
        <f t="shared" si="123"/>
        <v>1.1760000000000001E-9</v>
      </c>
      <c r="X860" s="1"/>
      <c r="Y860" s="1"/>
      <c r="Z860" s="1"/>
      <c r="AA860" s="1"/>
      <c r="AB860" s="1">
        <v>8.0000000000000002E-8</v>
      </c>
      <c r="AD860">
        <v>147</v>
      </c>
      <c r="AF860" s="2"/>
      <c r="AG860" s="2"/>
      <c r="AK860" t="s">
        <v>199</v>
      </c>
    </row>
    <row r="861" spans="1:37" hidden="1" x14ac:dyDescent="0.25">
      <c r="A861" t="s">
        <v>161</v>
      </c>
      <c r="B861" t="s">
        <v>50</v>
      </c>
      <c r="C861" t="s">
        <v>51</v>
      </c>
      <c r="D861" t="s">
        <v>16</v>
      </c>
      <c r="E861" t="s">
        <v>29</v>
      </c>
      <c r="F861" t="s">
        <v>30</v>
      </c>
      <c r="G861" t="s">
        <v>30</v>
      </c>
      <c r="H861" t="s">
        <v>30</v>
      </c>
      <c r="I861" t="s">
        <v>704</v>
      </c>
      <c r="J861">
        <v>14</v>
      </c>
      <c r="K861" t="s">
        <v>738</v>
      </c>
      <c r="L861" t="s">
        <v>163</v>
      </c>
      <c r="M861" t="s">
        <v>707</v>
      </c>
      <c r="R861" t="s">
        <v>408</v>
      </c>
      <c r="S861" t="s">
        <v>701</v>
      </c>
      <c r="T861" t="s">
        <v>695</v>
      </c>
      <c r="U861" t="s">
        <v>609</v>
      </c>
      <c r="V861" s="1" t="s">
        <v>733</v>
      </c>
      <c r="W861" s="1">
        <f t="shared" si="123"/>
        <v>6.8820000000000006E-10</v>
      </c>
      <c r="X861" s="1"/>
      <c r="Y861" s="1"/>
      <c r="Z861" s="1"/>
      <c r="AA861" s="1"/>
      <c r="AB861" s="1">
        <v>3.7E-8</v>
      </c>
      <c r="AD861">
        <v>186</v>
      </c>
      <c r="AF861" s="2"/>
      <c r="AG861" s="2"/>
      <c r="AK861" t="s">
        <v>199</v>
      </c>
    </row>
    <row r="862" spans="1:37" hidden="1" x14ac:dyDescent="0.25">
      <c r="A862" t="s">
        <v>161</v>
      </c>
      <c r="B862" t="s">
        <v>50</v>
      </c>
      <c r="C862" t="s">
        <v>51</v>
      </c>
      <c r="D862" t="s">
        <v>16</v>
      </c>
      <c r="E862" t="s">
        <v>29</v>
      </c>
      <c r="F862" t="s">
        <v>30</v>
      </c>
      <c r="G862" t="s">
        <v>30</v>
      </c>
      <c r="H862" t="s">
        <v>30</v>
      </c>
      <c r="I862" t="s">
        <v>704</v>
      </c>
      <c r="J862">
        <v>14</v>
      </c>
      <c r="K862" t="s">
        <v>738</v>
      </c>
      <c r="L862" t="s">
        <v>163</v>
      </c>
      <c r="M862" t="s">
        <v>707</v>
      </c>
      <c r="R862" t="s">
        <v>408</v>
      </c>
      <c r="S862" t="s">
        <v>701</v>
      </c>
      <c r="T862" t="s">
        <v>695</v>
      </c>
      <c r="U862" t="s">
        <v>609</v>
      </c>
      <c r="V862" s="1" t="s">
        <v>733</v>
      </c>
      <c r="W862" s="1">
        <f t="shared" si="123"/>
        <v>1.3750000000000001E-9</v>
      </c>
      <c r="X862" s="1"/>
      <c r="Y862" s="1"/>
      <c r="Z862" s="1"/>
      <c r="AA862" s="1"/>
      <c r="AB862" s="1">
        <v>1.1000000000000001E-7</v>
      </c>
      <c r="AD862">
        <v>125</v>
      </c>
      <c r="AF862" s="2"/>
      <c r="AG862" s="2"/>
      <c r="AK862" t="s">
        <v>199</v>
      </c>
    </row>
    <row r="863" spans="1:37" hidden="1" x14ac:dyDescent="0.25">
      <c r="A863" t="s">
        <v>301</v>
      </c>
      <c r="B863" t="s">
        <v>302</v>
      </c>
      <c r="C863" t="s">
        <v>303</v>
      </c>
      <c r="D863" t="s">
        <v>304</v>
      </c>
      <c r="E863" t="s">
        <v>17</v>
      </c>
      <c r="F863" s="8" t="s">
        <v>114</v>
      </c>
      <c r="G863" t="s">
        <v>762</v>
      </c>
      <c r="H863" t="s">
        <v>762</v>
      </c>
      <c r="I863" t="s">
        <v>705</v>
      </c>
      <c r="J863">
        <f>+AVERAGE(4,16)*30</f>
        <v>300</v>
      </c>
      <c r="K863" t="s">
        <v>756</v>
      </c>
      <c r="L863" t="s">
        <v>756</v>
      </c>
      <c r="M863" t="s">
        <v>756</v>
      </c>
      <c r="R863" t="s">
        <v>408</v>
      </c>
      <c r="S863" t="s">
        <v>701</v>
      </c>
      <c r="T863" t="s">
        <v>695</v>
      </c>
      <c r="U863" t="s">
        <v>609</v>
      </c>
      <c r="V863" s="1"/>
      <c r="W863" s="1"/>
      <c r="X863" s="1"/>
      <c r="Y863">
        <f>[109]Tyree_etal_1998_Fig4a!C2</f>
        <v>1.1043771043771E-9</v>
      </c>
      <c r="AB863" s="1">
        <f>[110]Tyree_etal_1998_Fig3a!C2</f>
        <v>1.47026431718061E-7</v>
      </c>
      <c r="AC863">
        <f>[111]Tyree_etal_1998_Fig4b!C2</f>
        <v>2.8571428571428503E-8</v>
      </c>
      <c r="AK863" t="s">
        <v>44</v>
      </c>
    </row>
    <row r="864" spans="1:37" hidden="1" x14ac:dyDescent="0.25">
      <c r="A864" t="s">
        <v>301</v>
      </c>
      <c r="B864" t="s">
        <v>305</v>
      </c>
      <c r="C864" t="s">
        <v>306</v>
      </c>
      <c r="D864" t="s">
        <v>307</v>
      </c>
      <c r="E864" t="s">
        <v>17</v>
      </c>
      <c r="F864" s="8" t="s">
        <v>114</v>
      </c>
      <c r="G864" t="s">
        <v>762</v>
      </c>
      <c r="H864" t="s">
        <v>762</v>
      </c>
      <c r="I864" t="s">
        <v>705</v>
      </c>
      <c r="J864">
        <f>+AVERAGE(4,16)*30</f>
        <v>300</v>
      </c>
      <c r="K864" t="s">
        <v>756</v>
      </c>
      <c r="L864" t="s">
        <v>756</v>
      </c>
      <c r="M864" t="s">
        <v>756</v>
      </c>
      <c r="R864" t="s">
        <v>408</v>
      </c>
      <c r="S864" t="s">
        <v>701</v>
      </c>
      <c r="T864" t="s">
        <v>695</v>
      </c>
      <c r="U864" t="s">
        <v>609</v>
      </c>
      <c r="V864" s="1"/>
      <c r="W864" s="1"/>
      <c r="X864" s="1"/>
      <c r="Y864">
        <f>[109]Tyree_etal_1998_Fig4a!C3</f>
        <v>6.4646464646464608E-10</v>
      </c>
      <c r="AB864" s="1">
        <f>[110]Tyree_etal_1998_Fig3a!C3</f>
        <v>8.0396475770925095E-8</v>
      </c>
      <c r="AC864">
        <f>[111]Tyree_etal_1998_Fig4b!C3</f>
        <v>2.04081632653061E-8</v>
      </c>
      <c r="AK864" t="s">
        <v>44</v>
      </c>
    </row>
    <row r="865" spans="1:37" hidden="1" x14ac:dyDescent="0.25">
      <c r="A865" t="s">
        <v>301</v>
      </c>
      <c r="B865" t="s">
        <v>308</v>
      </c>
      <c r="C865" t="s">
        <v>309</v>
      </c>
      <c r="D865" t="s">
        <v>310</v>
      </c>
      <c r="E865" t="s">
        <v>17</v>
      </c>
      <c r="F865" s="8" t="s">
        <v>114</v>
      </c>
      <c r="G865" t="s">
        <v>762</v>
      </c>
      <c r="H865" t="s">
        <v>762</v>
      </c>
      <c r="I865" t="s">
        <v>705</v>
      </c>
      <c r="J865">
        <f>+AVERAGE(4,16)*30</f>
        <v>300</v>
      </c>
      <c r="K865" t="s">
        <v>756</v>
      </c>
      <c r="L865" t="s">
        <v>756</v>
      </c>
      <c r="M865" t="s">
        <v>756</v>
      </c>
      <c r="R865" t="s">
        <v>408</v>
      </c>
      <c r="S865" t="s">
        <v>701</v>
      </c>
      <c r="T865" t="s">
        <v>695</v>
      </c>
      <c r="U865" t="s">
        <v>609</v>
      </c>
      <c r="V865" s="1"/>
      <c r="W865" s="1"/>
      <c r="X865" s="1"/>
      <c r="Y865">
        <f>[109]Tyree_etal_1998_Fig4a!C4</f>
        <v>4.5117845117845202E-10</v>
      </c>
      <c r="AB865" s="1">
        <f>[110]Tyree_etal_1998_Fig3a!C4</f>
        <v>1.8447136563876601E-7</v>
      </c>
      <c r="AC865">
        <f>[111]Tyree_etal_1998_Fig4b!C4</f>
        <v>3.2838589981447102E-8</v>
      </c>
      <c r="AK865" t="s">
        <v>44</v>
      </c>
    </row>
    <row r="866" spans="1:37" hidden="1" x14ac:dyDescent="0.25">
      <c r="A866" t="s">
        <v>301</v>
      </c>
      <c r="B866" t="s">
        <v>311</v>
      </c>
      <c r="C866" t="s">
        <v>312</v>
      </c>
      <c r="D866" t="s">
        <v>313</v>
      </c>
      <c r="E866" t="s">
        <v>17</v>
      </c>
      <c r="F866" s="8" t="s">
        <v>114</v>
      </c>
      <c r="G866" t="s">
        <v>762</v>
      </c>
      <c r="H866" t="s">
        <v>762</v>
      </c>
      <c r="I866" t="s">
        <v>705</v>
      </c>
      <c r="J866">
        <f>+AVERAGE(4,16)*30</f>
        <v>300</v>
      </c>
      <c r="K866" t="s">
        <v>756</v>
      </c>
      <c r="L866" t="s">
        <v>756</v>
      </c>
      <c r="M866" t="s">
        <v>756</v>
      </c>
      <c r="R866" t="s">
        <v>408</v>
      </c>
      <c r="S866" t="s">
        <v>701</v>
      </c>
      <c r="T866" t="s">
        <v>695</v>
      </c>
      <c r="U866" t="s">
        <v>609</v>
      </c>
      <c r="V866" s="1"/>
      <c r="W866" s="1"/>
      <c r="X866" s="1"/>
      <c r="Y866">
        <f>[109]Tyree_etal_1998_Fig4a!C5</f>
        <v>3.3265993265993205E-9</v>
      </c>
      <c r="AB866" s="1">
        <f>[110]Tyree_etal_1998_Fig3a!C5</f>
        <v>2.4339207048458099E-7</v>
      </c>
      <c r="AC866">
        <f>[111]Tyree_etal_1998_Fig4b!C5</f>
        <v>8.8311688311688216E-8</v>
      </c>
      <c r="AK866" t="s">
        <v>44</v>
      </c>
    </row>
    <row r="867" spans="1:37" hidden="1" x14ac:dyDescent="0.25">
      <c r="A867" t="s">
        <v>301</v>
      </c>
      <c r="B867" t="s">
        <v>314</v>
      </c>
      <c r="C867" t="s">
        <v>315</v>
      </c>
      <c r="D867" t="s">
        <v>316</v>
      </c>
      <c r="E867" t="s">
        <v>17</v>
      </c>
      <c r="F867" s="8" t="s">
        <v>114</v>
      </c>
      <c r="G867" t="s">
        <v>762</v>
      </c>
      <c r="H867" t="s">
        <v>762</v>
      </c>
      <c r="I867" t="s">
        <v>705</v>
      </c>
      <c r="J867">
        <f>+AVERAGE(4,16)*30</f>
        <v>300</v>
      </c>
      <c r="K867" t="s">
        <v>756</v>
      </c>
      <c r="L867" t="s">
        <v>756</v>
      </c>
      <c r="M867" t="s">
        <v>756</v>
      </c>
      <c r="R867" t="s">
        <v>408</v>
      </c>
      <c r="S867" t="s">
        <v>701</v>
      </c>
      <c r="T867" t="s">
        <v>695</v>
      </c>
      <c r="U867" t="s">
        <v>609</v>
      </c>
      <c r="V867" s="1"/>
      <c r="W867" s="1"/>
      <c r="X867" s="1"/>
      <c r="Y867">
        <f>[109]Tyree_etal_1998_Fig4a!C6</f>
        <v>1.8720538720538701E-9</v>
      </c>
      <c r="AB867" s="1">
        <f>[110]Tyree_etal_1998_Fig3a!C6</f>
        <v>7.48898678414096E-8</v>
      </c>
      <c r="AC867">
        <f>[111]Tyree_etal_1998_Fig4b!C6</f>
        <v>7.1799628942485998E-8</v>
      </c>
      <c r="AK867" t="s">
        <v>44</v>
      </c>
    </row>
    <row r="868" spans="1:37" hidden="1" x14ac:dyDescent="0.25">
      <c r="A868" t="s">
        <v>164</v>
      </c>
      <c r="B868" t="s">
        <v>165</v>
      </c>
      <c r="C868" t="s">
        <v>166</v>
      </c>
      <c r="D868" t="s">
        <v>140</v>
      </c>
      <c r="E868" t="s">
        <v>17</v>
      </c>
      <c r="F868" t="s">
        <v>69</v>
      </c>
      <c r="G868" t="s">
        <v>616</v>
      </c>
      <c r="H868" t="s">
        <v>760</v>
      </c>
      <c r="I868" t="s">
        <v>705</v>
      </c>
      <c r="J868">
        <f t="shared" ref="J868:J897" si="124">4*365</f>
        <v>1460</v>
      </c>
      <c r="K868" t="s">
        <v>753</v>
      </c>
      <c r="L868" t="s">
        <v>167</v>
      </c>
      <c r="M868" t="s">
        <v>707</v>
      </c>
      <c r="R868" t="s">
        <v>408</v>
      </c>
      <c r="S868" t="s">
        <v>701</v>
      </c>
      <c r="T868" t="s">
        <v>695</v>
      </c>
      <c r="U868" t="s">
        <v>609</v>
      </c>
      <c r="V868" s="1" t="s">
        <v>733</v>
      </c>
      <c r="W868" s="1">
        <f t="shared" ref="W868:W899" si="125">+AC868*AI868</f>
        <v>2.1331392329719305E-9</v>
      </c>
      <c r="X868" s="1"/>
      <c r="Y868" s="1"/>
      <c r="Z868" s="1"/>
      <c r="AA868" s="1"/>
      <c r="AC868" s="1">
        <f>[112]Nardini_etal_1998_Fig3!B2</f>
        <v>1.1386426920487E-7</v>
      </c>
      <c r="AF868" s="2"/>
      <c r="AG868" s="2"/>
      <c r="AI868" s="5">
        <f>[112]Nardini_etal_1998_Fig3!D2</f>
        <v>1.8734052814530298E-2</v>
      </c>
      <c r="AK868" t="s">
        <v>199</v>
      </c>
    </row>
    <row r="869" spans="1:37" hidden="1" x14ac:dyDescent="0.25">
      <c r="A869" t="s">
        <v>164</v>
      </c>
      <c r="B869" t="s">
        <v>165</v>
      </c>
      <c r="C869" t="s">
        <v>166</v>
      </c>
      <c r="D869" t="s">
        <v>140</v>
      </c>
      <c r="E869" t="s">
        <v>17</v>
      </c>
      <c r="F869" t="s">
        <v>69</v>
      </c>
      <c r="G869" t="s">
        <v>616</v>
      </c>
      <c r="H869" t="s">
        <v>760</v>
      </c>
      <c r="I869" t="s">
        <v>705</v>
      </c>
      <c r="J869">
        <f t="shared" si="124"/>
        <v>1460</v>
      </c>
      <c r="K869" t="s">
        <v>753</v>
      </c>
      <c r="L869" t="s">
        <v>168</v>
      </c>
      <c r="M869" t="s">
        <v>707</v>
      </c>
      <c r="R869" t="s">
        <v>408</v>
      </c>
      <c r="S869" t="s">
        <v>701</v>
      </c>
      <c r="T869" t="s">
        <v>695</v>
      </c>
      <c r="U869" t="s">
        <v>609</v>
      </c>
      <c r="V869" s="1" t="s">
        <v>733</v>
      </c>
      <c r="W869" s="1">
        <f t="shared" si="125"/>
        <v>1.5329364865116511E-9</v>
      </c>
      <c r="X869" s="1"/>
      <c r="Y869" s="1"/>
      <c r="Z869" s="1"/>
      <c r="AA869" s="1"/>
      <c r="AC869" s="1">
        <f>[112]Nardini_etal_1998_Fig3!B3</f>
        <v>9.0657906710102494E-8</v>
      </c>
      <c r="AF869" s="2"/>
      <c r="AG869" s="2"/>
      <c r="AI869" s="5">
        <f>[112]Nardini_etal_1998_Fig3!D3</f>
        <v>1.6909021420641601E-2</v>
      </c>
      <c r="AK869" t="s">
        <v>199</v>
      </c>
    </row>
    <row r="870" spans="1:37" hidden="1" x14ac:dyDescent="0.25">
      <c r="A870" t="s">
        <v>164</v>
      </c>
      <c r="B870" t="s">
        <v>165</v>
      </c>
      <c r="C870" t="s">
        <v>166</v>
      </c>
      <c r="D870" t="s">
        <v>140</v>
      </c>
      <c r="E870" t="s">
        <v>17</v>
      </c>
      <c r="F870" t="s">
        <v>69</v>
      </c>
      <c r="G870" t="s">
        <v>616</v>
      </c>
      <c r="H870" t="s">
        <v>760</v>
      </c>
      <c r="I870" t="s">
        <v>705</v>
      </c>
      <c r="J870">
        <f t="shared" si="124"/>
        <v>1460</v>
      </c>
      <c r="K870" t="s">
        <v>753</v>
      </c>
      <c r="L870" t="s">
        <v>169</v>
      </c>
      <c r="M870" t="s">
        <v>707</v>
      </c>
      <c r="R870" t="s">
        <v>408</v>
      </c>
      <c r="S870" t="s">
        <v>701</v>
      </c>
      <c r="T870" t="s">
        <v>695</v>
      </c>
      <c r="U870" t="s">
        <v>609</v>
      </c>
      <c r="V870" s="1" t="s">
        <v>733</v>
      </c>
      <c r="W870" s="1">
        <f t="shared" si="125"/>
        <v>1.0021002749432196E-9</v>
      </c>
      <c r="X870" s="1"/>
      <c r="Y870" s="1"/>
      <c r="Z870" s="1"/>
      <c r="AA870" s="1"/>
      <c r="AC870" s="1">
        <f>[112]Nardini_etal_1998_Fig3!B4</f>
        <v>2.81605911150745E-8</v>
      </c>
      <c r="AF870" s="2"/>
      <c r="AG870" s="2"/>
      <c r="AI870" s="5">
        <f>[112]Nardini_etal_1998_Fig3!D4</f>
        <v>3.55852002839099E-2</v>
      </c>
      <c r="AK870" t="s">
        <v>199</v>
      </c>
    </row>
    <row r="871" spans="1:37" hidden="1" x14ac:dyDescent="0.25">
      <c r="A871" t="s">
        <v>164</v>
      </c>
      <c r="B871" t="s">
        <v>170</v>
      </c>
      <c r="C871" t="s">
        <v>139</v>
      </c>
      <c r="D871" t="s">
        <v>140</v>
      </c>
      <c r="E871" t="s">
        <v>17</v>
      </c>
      <c r="F871" t="s">
        <v>23</v>
      </c>
      <c r="G871" t="s">
        <v>617</v>
      </c>
      <c r="H871" t="s">
        <v>760</v>
      </c>
      <c r="I871" t="s">
        <v>705</v>
      </c>
      <c r="J871">
        <f t="shared" si="124"/>
        <v>1460</v>
      </c>
      <c r="K871" t="s">
        <v>753</v>
      </c>
      <c r="L871" t="s">
        <v>167</v>
      </c>
      <c r="M871" t="s">
        <v>707</v>
      </c>
      <c r="R871" t="s">
        <v>408</v>
      </c>
      <c r="S871" t="s">
        <v>701</v>
      </c>
      <c r="T871" t="s">
        <v>695</v>
      </c>
      <c r="U871" t="s">
        <v>609</v>
      </c>
      <c r="V871" s="1" t="s">
        <v>733</v>
      </c>
      <c r="W871" s="1">
        <f t="shared" si="125"/>
        <v>3.2898804039819464E-10</v>
      </c>
      <c r="X871" s="1"/>
      <c r="Y871" s="1"/>
      <c r="Z871" s="1"/>
      <c r="AA871" s="1"/>
      <c r="AC871" s="1">
        <f>[112]Nardini_etal_1998_Fig3!B5</f>
        <v>3.5113146619422699E-8</v>
      </c>
      <c r="AF871" s="2"/>
      <c r="AG871" s="2"/>
      <c r="AI871" s="5">
        <f>[112]Nardini_etal_1998_Fig3!D5</f>
        <v>9.3693693693693691E-3</v>
      </c>
      <c r="AK871" t="s">
        <v>199</v>
      </c>
    </row>
    <row r="872" spans="1:37" hidden="1" x14ac:dyDescent="0.25">
      <c r="A872" t="s">
        <v>164</v>
      </c>
      <c r="B872" t="s">
        <v>170</v>
      </c>
      <c r="C872" t="s">
        <v>139</v>
      </c>
      <c r="D872" t="s">
        <v>140</v>
      </c>
      <c r="E872" t="s">
        <v>17</v>
      </c>
      <c r="F872" t="s">
        <v>23</v>
      </c>
      <c r="G872" t="s">
        <v>617</v>
      </c>
      <c r="H872" t="s">
        <v>760</v>
      </c>
      <c r="I872" t="s">
        <v>705</v>
      </c>
      <c r="J872">
        <f t="shared" si="124"/>
        <v>1460</v>
      </c>
      <c r="K872" t="s">
        <v>753</v>
      </c>
      <c r="L872" t="s">
        <v>168</v>
      </c>
      <c r="M872" t="s">
        <v>707</v>
      </c>
      <c r="R872" t="s">
        <v>408</v>
      </c>
      <c r="S872" t="s">
        <v>701</v>
      </c>
      <c r="T872" t="s">
        <v>695</v>
      </c>
      <c r="U872" t="s">
        <v>609</v>
      </c>
      <c r="V872" s="1" t="s">
        <v>733</v>
      </c>
      <c r="W872" s="1">
        <f t="shared" si="125"/>
        <v>2.9624123727934537E-10</v>
      </c>
      <c r="X872" s="1"/>
      <c r="Y872" s="1"/>
      <c r="Z872" s="1"/>
      <c r="AA872" s="1"/>
      <c r="AC872" s="1">
        <f>[112]Nardini_etal_1998_Fig3!B6</f>
        <v>2.2835262040283001E-8</v>
      </c>
      <c r="AF872" s="2"/>
      <c r="AG872" s="2"/>
      <c r="AI872" s="5">
        <f>[112]Nardini_etal_1998_Fig3!D6</f>
        <v>1.2972972972972899E-2</v>
      </c>
      <c r="AK872" t="s">
        <v>199</v>
      </c>
    </row>
    <row r="873" spans="1:37" hidden="1" x14ac:dyDescent="0.25">
      <c r="A873" t="s">
        <v>164</v>
      </c>
      <c r="B873" t="s">
        <v>170</v>
      </c>
      <c r="C873" t="s">
        <v>139</v>
      </c>
      <c r="D873" t="s">
        <v>140</v>
      </c>
      <c r="E873" t="s">
        <v>17</v>
      </c>
      <c r="F873" t="s">
        <v>23</v>
      </c>
      <c r="G873" t="s">
        <v>617</v>
      </c>
      <c r="H873" t="s">
        <v>760</v>
      </c>
      <c r="I873" t="s">
        <v>705</v>
      </c>
      <c r="J873">
        <f t="shared" si="124"/>
        <v>1460</v>
      </c>
      <c r="K873" t="s">
        <v>753</v>
      </c>
      <c r="L873" t="s">
        <v>169</v>
      </c>
      <c r="M873" t="s">
        <v>707</v>
      </c>
      <c r="R873" t="s">
        <v>408</v>
      </c>
      <c r="S873" t="s">
        <v>701</v>
      </c>
      <c r="T873" t="s">
        <v>695</v>
      </c>
      <c r="U873" t="s">
        <v>609</v>
      </c>
      <c r="V873" s="1" t="s">
        <v>733</v>
      </c>
      <c r="W873" s="1">
        <f t="shared" si="125"/>
        <v>3.9598134075875364E-11</v>
      </c>
      <c r="X873" s="1"/>
      <c r="Y873" s="1"/>
      <c r="Z873" s="1"/>
      <c r="AA873" s="1"/>
      <c r="AC873" s="1">
        <f>[112]Nardini_etal_1998_Fig3!B7</f>
        <v>3.62257655144685E-9</v>
      </c>
      <c r="AF873" s="2"/>
      <c r="AG873" s="2"/>
      <c r="AI873" s="5">
        <f>[112]Nardini_etal_1998_Fig3!D7</f>
        <v>1.09309309309309E-2</v>
      </c>
      <c r="AK873" t="s">
        <v>199</v>
      </c>
    </row>
    <row r="874" spans="1:37" hidden="1" x14ac:dyDescent="0.25">
      <c r="A874" t="s">
        <v>164</v>
      </c>
      <c r="B874" t="s">
        <v>171</v>
      </c>
      <c r="C874" t="s">
        <v>139</v>
      </c>
      <c r="D874" t="s">
        <v>140</v>
      </c>
      <c r="E874" t="s">
        <v>17</v>
      </c>
      <c r="F874" t="s">
        <v>23</v>
      </c>
      <c r="G874" t="s">
        <v>617</v>
      </c>
      <c r="H874" t="s">
        <v>760</v>
      </c>
      <c r="I874" t="s">
        <v>705</v>
      </c>
      <c r="J874">
        <f t="shared" si="124"/>
        <v>1460</v>
      </c>
      <c r="K874" t="s">
        <v>753</v>
      </c>
      <c r="L874" t="s">
        <v>167</v>
      </c>
      <c r="M874" t="s">
        <v>707</v>
      </c>
      <c r="R874" t="s">
        <v>408</v>
      </c>
      <c r="S874" t="s">
        <v>701</v>
      </c>
      <c r="T874" t="s">
        <v>695</v>
      </c>
      <c r="U874" t="s">
        <v>609</v>
      </c>
      <c r="V874" s="1" t="s">
        <v>733</v>
      </c>
      <c r="W874" s="1">
        <f t="shared" si="125"/>
        <v>8.7748839941575369E-10</v>
      </c>
      <c r="X874" s="1"/>
      <c r="Y874" s="1"/>
      <c r="Z874" s="1"/>
      <c r="AA874" s="1"/>
      <c r="AC874" s="1">
        <f>[112]Nardini_etal_1998_Fig3!B8</f>
        <v>2.3580056284710999E-8</v>
      </c>
      <c r="AF874" s="2"/>
      <c r="AG874" s="2"/>
      <c r="AI874" s="5">
        <f>[112]Nardini_etal_1998_Fig3!D8</f>
        <v>3.7213159664283998E-2</v>
      </c>
      <c r="AK874" t="s">
        <v>199</v>
      </c>
    </row>
    <row r="875" spans="1:37" hidden="1" x14ac:dyDescent="0.25">
      <c r="A875" t="s">
        <v>164</v>
      </c>
      <c r="B875" t="s">
        <v>171</v>
      </c>
      <c r="C875" t="s">
        <v>139</v>
      </c>
      <c r="D875" t="s">
        <v>140</v>
      </c>
      <c r="E875" t="s">
        <v>17</v>
      </c>
      <c r="F875" t="s">
        <v>23</v>
      </c>
      <c r="G875" t="s">
        <v>617</v>
      </c>
      <c r="H875" t="s">
        <v>760</v>
      </c>
      <c r="I875" t="s">
        <v>705</v>
      </c>
      <c r="J875">
        <f t="shared" si="124"/>
        <v>1460</v>
      </c>
      <c r="K875" t="s">
        <v>753</v>
      </c>
      <c r="L875" t="s">
        <v>168</v>
      </c>
      <c r="M875" t="s">
        <v>707</v>
      </c>
      <c r="R875" t="s">
        <v>408</v>
      </c>
      <c r="S875" t="s">
        <v>701</v>
      </c>
      <c r="T875" t="s">
        <v>695</v>
      </c>
      <c r="U875" t="s">
        <v>609</v>
      </c>
      <c r="V875" s="1" t="s">
        <v>733</v>
      </c>
      <c r="W875" s="1">
        <f t="shared" si="125"/>
        <v>6.0001272347922908E-10</v>
      </c>
      <c r="X875" s="1"/>
      <c r="Y875" s="1"/>
      <c r="Z875" s="1"/>
      <c r="AA875" s="1"/>
      <c r="AC875" s="1">
        <f>[112]Nardini_etal_1998_Fig3!B9</f>
        <v>1.8430752372176399E-8</v>
      </c>
      <c r="AF875" s="2"/>
      <c r="AG875" s="2"/>
      <c r="AI875" s="5">
        <f>[112]Nardini_etal_1998_Fig3!D9</f>
        <v>3.2554977212163397E-2</v>
      </c>
      <c r="AK875" t="s">
        <v>199</v>
      </c>
    </row>
    <row r="876" spans="1:37" hidden="1" x14ac:dyDescent="0.25">
      <c r="A876" t="s">
        <v>164</v>
      </c>
      <c r="B876" t="s">
        <v>171</v>
      </c>
      <c r="C876" t="s">
        <v>139</v>
      </c>
      <c r="D876" t="s">
        <v>140</v>
      </c>
      <c r="E876" t="s">
        <v>17</v>
      </c>
      <c r="F876" t="s">
        <v>23</v>
      </c>
      <c r="G876" t="s">
        <v>617</v>
      </c>
      <c r="H876" t="s">
        <v>760</v>
      </c>
      <c r="I876" t="s">
        <v>705</v>
      </c>
      <c r="J876">
        <f t="shared" si="124"/>
        <v>1460</v>
      </c>
      <c r="K876" t="s">
        <v>753</v>
      </c>
      <c r="L876" t="s">
        <v>169</v>
      </c>
      <c r="M876" t="s">
        <v>707</v>
      </c>
      <c r="R876" t="s">
        <v>408</v>
      </c>
      <c r="S876" t="s">
        <v>701</v>
      </c>
      <c r="T876" t="s">
        <v>695</v>
      </c>
      <c r="U876" t="s">
        <v>609</v>
      </c>
      <c r="V876" s="1" t="s">
        <v>733</v>
      </c>
      <c r="W876" s="1">
        <f t="shared" si="125"/>
        <v>8.0968115626321555E-10</v>
      </c>
      <c r="X876" s="1"/>
      <c r="Y876" s="1"/>
      <c r="Z876" s="1"/>
      <c r="AA876" s="1"/>
      <c r="AC876" s="1">
        <f>[112]Nardini_etal_1998_Fig3!B10</f>
        <v>3.05314671381964E-8</v>
      </c>
      <c r="AF876" s="2"/>
      <c r="AG876" s="2"/>
      <c r="AI876" s="5">
        <f>[112]Nardini_etal_1998_Fig3!D10</f>
        <v>2.6519562672776498E-2</v>
      </c>
      <c r="AK876" t="s">
        <v>199</v>
      </c>
    </row>
    <row r="877" spans="1:37" hidden="1" x14ac:dyDescent="0.25">
      <c r="A877" t="s">
        <v>164</v>
      </c>
      <c r="B877" t="s">
        <v>172</v>
      </c>
      <c r="C877" t="s">
        <v>139</v>
      </c>
      <c r="D877" t="s">
        <v>140</v>
      </c>
      <c r="E877" t="s">
        <v>17</v>
      </c>
      <c r="F877" t="s">
        <v>69</v>
      </c>
      <c r="G877" t="s">
        <v>616</v>
      </c>
      <c r="H877" t="s">
        <v>760</v>
      </c>
      <c r="I877" t="s">
        <v>705</v>
      </c>
      <c r="J877">
        <f t="shared" si="124"/>
        <v>1460</v>
      </c>
      <c r="K877" t="s">
        <v>753</v>
      </c>
      <c r="L877" t="s">
        <v>167</v>
      </c>
      <c r="M877" t="s">
        <v>707</v>
      </c>
      <c r="R877" t="s">
        <v>408</v>
      </c>
      <c r="S877" t="s">
        <v>701</v>
      </c>
      <c r="T877" t="s">
        <v>695</v>
      </c>
      <c r="U877" t="s">
        <v>609</v>
      </c>
      <c r="V877" s="1" t="s">
        <v>733</v>
      </c>
      <c r="W877" s="1">
        <f t="shared" si="125"/>
        <v>2.6851881105333721E-10</v>
      </c>
      <c r="X877" s="1"/>
      <c r="Y877" s="1"/>
      <c r="Z877" s="1"/>
      <c r="AA877" s="1"/>
      <c r="AC877" s="1">
        <f>[112]Nardini_etal_1998_Fig3!B11</f>
        <v>1.04543538106694E-8</v>
      </c>
      <c r="AF877" s="2"/>
      <c r="AG877" s="2"/>
      <c r="AI877" s="5">
        <f>[112]Nardini_etal_1998_Fig3!D11</f>
        <v>2.5684878847250698E-2</v>
      </c>
      <c r="AK877" t="s">
        <v>199</v>
      </c>
    </row>
    <row r="878" spans="1:37" hidden="1" x14ac:dyDescent="0.25">
      <c r="A878" t="s">
        <v>164</v>
      </c>
      <c r="B878" t="s">
        <v>172</v>
      </c>
      <c r="C878" t="s">
        <v>139</v>
      </c>
      <c r="D878" t="s">
        <v>140</v>
      </c>
      <c r="E878" t="s">
        <v>17</v>
      </c>
      <c r="F878" t="s">
        <v>69</v>
      </c>
      <c r="G878" t="s">
        <v>616</v>
      </c>
      <c r="H878" t="s">
        <v>760</v>
      </c>
      <c r="I878" t="s">
        <v>705</v>
      </c>
      <c r="J878">
        <f t="shared" si="124"/>
        <v>1460</v>
      </c>
      <c r="K878" t="s">
        <v>753</v>
      </c>
      <c r="L878" t="s">
        <v>168</v>
      </c>
      <c r="M878" t="s">
        <v>707</v>
      </c>
      <c r="R878" t="s">
        <v>408</v>
      </c>
      <c r="S878" t="s">
        <v>701</v>
      </c>
      <c r="T878" t="s">
        <v>695</v>
      </c>
      <c r="U878" t="s">
        <v>609</v>
      </c>
      <c r="V878" s="1" t="s">
        <v>733</v>
      </c>
      <c r="W878" s="1">
        <f t="shared" si="125"/>
        <v>6.0227020168553445E-10</v>
      </c>
      <c r="X878" s="1"/>
      <c r="Y878" s="1"/>
      <c r="Z878" s="1"/>
      <c r="AA878" s="1"/>
      <c r="AC878" s="1">
        <f>[112]Nardini_etal_1998_Fig3!B12</f>
        <v>2.1434240222216601E-8</v>
      </c>
      <c r="AF878" s="2"/>
      <c r="AG878" s="2"/>
      <c r="AI878" s="5">
        <f>[112]Nardini_etal_1998_Fig3!D12</f>
        <v>2.8098509461570796E-2</v>
      </c>
      <c r="AK878" t="s">
        <v>199</v>
      </c>
    </row>
    <row r="879" spans="1:37" hidden="1" x14ac:dyDescent="0.25">
      <c r="A879" t="s">
        <v>164</v>
      </c>
      <c r="B879" t="s">
        <v>172</v>
      </c>
      <c r="C879" t="s">
        <v>139</v>
      </c>
      <c r="D879" t="s">
        <v>140</v>
      </c>
      <c r="E879" t="s">
        <v>17</v>
      </c>
      <c r="F879" t="s">
        <v>69</v>
      </c>
      <c r="G879" t="s">
        <v>616</v>
      </c>
      <c r="H879" t="s">
        <v>760</v>
      </c>
      <c r="I879" t="s">
        <v>705</v>
      </c>
      <c r="J879">
        <f t="shared" si="124"/>
        <v>1460</v>
      </c>
      <c r="K879" t="s">
        <v>753</v>
      </c>
      <c r="L879" t="s">
        <v>169</v>
      </c>
      <c r="M879" t="s">
        <v>707</v>
      </c>
      <c r="R879" t="s">
        <v>408</v>
      </c>
      <c r="S879" t="s">
        <v>701</v>
      </c>
      <c r="T879" t="s">
        <v>695</v>
      </c>
      <c r="U879" t="s">
        <v>609</v>
      </c>
      <c r="V879" s="1" t="s">
        <v>733</v>
      </c>
      <c r="W879" s="1">
        <f t="shared" si="125"/>
        <v>7.3497933356781707E-11</v>
      </c>
      <c r="X879" s="1"/>
      <c r="Y879" s="1"/>
      <c r="Z879" s="1"/>
      <c r="AA879" s="1"/>
      <c r="AC879" s="1">
        <f>[112]Nardini_etal_1998_Fig3!B13</f>
        <v>4.8761191438706099E-9</v>
      </c>
      <c r="AF879" s="2"/>
      <c r="AG879" s="2"/>
      <c r="AI879" s="5">
        <f>[112]Nardini_etal_1998_Fig3!D13</f>
        <v>1.50730388631234E-2</v>
      </c>
      <c r="AK879" t="s">
        <v>199</v>
      </c>
    </row>
    <row r="880" spans="1:37" hidden="1" x14ac:dyDescent="0.25">
      <c r="A880" t="s">
        <v>404</v>
      </c>
      <c r="B880" t="s">
        <v>173</v>
      </c>
      <c r="C880" t="s">
        <v>174</v>
      </c>
      <c r="D880" t="s">
        <v>175</v>
      </c>
      <c r="E880" t="s">
        <v>17</v>
      </c>
      <c r="F880" t="s">
        <v>69</v>
      </c>
      <c r="G880" t="s">
        <v>616</v>
      </c>
      <c r="H880" t="s">
        <v>760</v>
      </c>
      <c r="I880" t="s">
        <v>705</v>
      </c>
      <c r="J880">
        <f t="shared" si="124"/>
        <v>1460</v>
      </c>
      <c r="K880" t="s">
        <v>753</v>
      </c>
      <c r="L880" t="s">
        <v>169</v>
      </c>
      <c r="M880" t="s">
        <v>707</v>
      </c>
      <c r="R880" t="s">
        <v>408</v>
      </c>
      <c r="S880" t="s">
        <v>701</v>
      </c>
      <c r="T880" t="s">
        <v>695</v>
      </c>
      <c r="U880" t="s">
        <v>609</v>
      </c>
      <c r="V880" s="1" t="s">
        <v>733</v>
      </c>
      <c r="W880" s="1">
        <f t="shared" si="125"/>
        <v>4.4907671348520215E-10</v>
      </c>
      <c r="X880" s="1"/>
      <c r="Y880" s="1"/>
      <c r="Z880" s="1"/>
      <c r="AA880" s="1"/>
      <c r="AC880" s="1">
        <f>[113]Nardini_etal_1998b_Fig4!A2</f>
        <v>1.0320396521088501E-7</v>
      </c>
      <c r="AF880" s="2"/>
      <c r="AG880" s="2"/>
      <c r="AI880" s="5">
        <f>[113]Nardini_etal_1998b_Fig4!B2</f>
        <v>4.3513513513513498E-3</v>
      </c>
      <c r="AK880" t="s">
        <v>199</v>
      </c>
    </row>
    <row r="881" spans="1:37" hidden="1" x14ac:dyDescent="0.25">
      <c r="A881" t="s">
        <v>404</v>
      </c>
      <c r="B881" t="s">
        <v>173</v>
      </c>
      <c r="C881" t="s">
        <v>174</v>
      </c>
      <c r="D881" t="s">
        <v>175</v>
      </c>
      <c r="E881" t="s">
        <v>17</v>
      </c>
      <c r="F881" t="s">
        <v>69</v>
      </c>
      <c r="G881" t="s">
        <v>616</v>
      </c>
      <c r="H881" t="s">
        <v>760</v>
      </c>
      <c r="I881" t="s">
        <v>705</v>
      </c>
      <c r="J881">
        <f t="shared" si="124"/>
        <v>1460</v>
      </c>
      <c r="K881" t="s">
        <v>753</v>
      </c>
      <c r="L881" t="s">
        <v>168</v>
      </c>
      <c r="M881" t="s">
        <v>707</v>
      </c>
      <c r="R881" t="s">
        <v>408</v>
      </c>
      <c r="S881" t="s">
        <v>701</v>
      </c>
      <c r="T881" t="s">
        <v>695</v>
      </c>
      <c r="U881" t="s">
        <v>609</v>
      </c>
      <c r="V881" s="1" t="s">
        <v>733</v>
      </c>
      <c r="W881" s="1">
        <f t="shared" si="125"/>
        <v>1.3258282129506246E-9</v>
      </c>
      <c r="X881" s="1"/>
      <c r="Y881" s="1"/>
      <c r="Z881" s="1"/>
      <c r="AA881" s="1"/>
      <c r="AC881" s="1">
        <f>[113]Nardini_etal_1998b_Fig4!A3</f>
        <v>1.6915739268680399E-7</v>
      </c>
      <c r="AF881" s="2"/>
      <c r="AG881" s="2"/>
      <c r="AI881" s="5">
        <f>[113]Nardini_etal_1998b_Fig4!B3</f>
        <v>7.8378378378378306E-3</v>
      </c>
      <c r="AK881" t="s">
        <v>199</v>
      </c>
    </row>
    <row r="882" spans="1:37" hidden="1" x14ac:dyDescent="0.25">
      <c r="A882" t="s">
        <v>404</v>
      </c>
      <c r="B882" t="s">
        <v>173</v>
      </c>
      <c r="C882" t="s">
        <v>174</v>
      </c>
      <c r="D882" t="s">
        <v>175</v>
      </c>
      <c r="E882" t="s">
        <v>17</v>
      </c>
      <c r="F882" t="s">
        <v>69</v>
      </c>
      <c r="G882" t="s">
        <v>616</v>
      </c>
      <c r="H882" t="s">
        <v>760</v>
      </c>
      <c r="I882" t="s">
        <v>705</v>
      </c>
      <c r="J882">
        <f t="shared" si="124"/>
        <v>1460</v>
      </c>
      <c r="K882" t="s">
        <v>753</v>
      </c>
      <c r="L882" t="s">
        <v>167</v>
      </c>
      <c r="M882" t="s">
        <v>707</v>
      </c>
      <c r="R882" t="s">
        <v>408</v>
      </c>
      <c r="S882" t="s">
        <v>701</v>
      </c>
      <c r="T882" t="s">
        <v>695</v>
      </c>
      <c r="U882" t="s">
        <v>609</v>
      </c>
      <c r="V882" s="1" t="s">
        <v>733</v>
      </c>
      <c r="W882" s="1">
        <f t="shared" si="125"/>
        <v>1.4349978895008308E-9</v>
      </c>
      <c r="X882" s="1"/>
      <c r="Y882" s="1"/>
      <c r="Z882" s="1"/>
      <c r="AA882" s="1"/>
      <c r="AC882" s="1">
        <f>[113]Nardini_etal_1998b_Fig4!A4</f>
        <v>4.4245768259608998E-7</v>
      </c>
      <c r="AF882" s="2"/>
      <c r="AG882" s="2"/>
      <c r="AI882" s="5">
        <f>[113]Nardini_etal_1998b_Fig4!B4</f>
        <v>3.24324324324324E-3</v>
      </c>
      <c r="AK882" t="s">
        <v>199</v>
      </c>
    </row>
    <row r="883" spans="1:37" hidden="1" x14ac:dyDescent="0.25">
      <c r="A883" t="s">
        <v>404</v>
      </c>
      <c r="B883" t="s">
        <v>176</v>
      </c>
      <c r="C883" t="s">
        <v>177</v>
      </c>
      <c r="D883" t="s">
        <v>140</v>
      </c>
      <c r="E883" t="s">
        <v>17</v>
      </c>
      <c r="F883" t="s">
        <v>69</v>
      </c>
      <c r="G883" t="s">
        <v>616</v>
      </c>
      <c r="H883" t="s">
        <v>760</v>
      </c>
      <c r="I883" t="s">
        <v>705</v>
      </c>
      <c r="J883">
        <f t="shared" si="124"/>
        <v>1460</v>
      </c>
      <c r="K883" t="s">
        <v>753</v>
      </c>
      <c r="L883" t="s">
        <v>169</v>
      </c>
      <c r="M883" t="s">
        <v>707</v>
      </c>
      <c r="R883" t="s">
        <v>408</v>
      </c>
      <c r="S883" t="s">
        <v>701</v>
      </c>
      <c r="T883" t="s">
        <v>695</v>
      </c>
      <c r="U883" t="s">
        <v>609</v>
      </c>
      <c r="V883" s="1" t="s">
        <v>733</v>
      </c>
      <c r="W883" s="1">
        <f t="shared" si="125"/>
        <v>4.1444219243678212E-10</v>
      </c>
      <c r="X883" s="1"/>
      <c r="Y883" s="1"/>
      <c r="Z883" s="1"/>
      <c r="AA883" s="1"/>
      <c r="AC883" s="1">
        <f>[113]Nardini_etal_1998b_Fig4!A5</f>
        <v>1.2010054657586401E-8</v>
      </c>
      <c r="AF883" s="2"/>
      <c r="AG883" s="2"/>
      <c r="AI883" s="5">
        <f>[113]Nardini_etal_1998b_Fig4!B5</f>
        <v>3.4507935580042601E-2</v>
      </c>
      <c r="AK883" t="s">
        <v>199</v>
      </c>
    </row>
    <row r="884" spans="1:37" hidden="1" x14ac:dyDescent="0.25">
      <c r="A884" t="s">
        <v>404</v>
      </c>
      <c r="B884" t="s">
        <v>176</v>
      </c>
      <c r="C884" t="s">
        <v>177</v>
      </c>
      <c r="D884" t="s">
        <v>140</v>
      </c>
      <c r="E884" t="s">
        <v>17</v>
      </c>
      <c r="F884" t="s">
        <v>69</v>
      </c>
      <c r="G884" t="s">
        <v>616</v>
      </c>
      <c r="H884" t="s">
        <v>760</v>
      </c>
      <c r="I884" t="s">
        <v>705</v>
      </c>
      <c r="J884">
        <f t="shared" si="124"/>
        <v>1460</v>
      </c>
      <c r="K884" t="s">
        <v>753</v>
      </c>
      <c r="L884" t="s">
        <v>168</v>
      </c>
      <c r="M884" t="s">
        <v>707</v>
      </c>
      <c r="R884" t="s">
        <v>408</v>
      </c>
      <c r="S884" t="s">
        <v>701</v>
      </c>
      <c r="T884" t="s">
        <v>695</v>
      </c>
      <c r="U884" t="s">
        <v>609</v>
      </c>
      <c r="V884" s="1" t="s">
        <v>733</v>
      </c>
      <c r="W884" s="1">
        <f t="shared" si="125"/>
        <v>1.7635648405503608E-9</v>
      </c>
      <c r="X884" s="1"/>
      <c r="Y884" s="1"/>
      <c r="Z884" s="1"/>
      <c r="AA884" s="1"/>
      <c r="AC884" s="1">
        <f>[113]Nardini_etal_1998b_Fig4!A6</f>
        <v>4.3308099260515003E-8</v>
      </c>
      <c r="AF884" s="2"/>
      <c r="AG884" s="2"/>
      <c r="AI884" s="5">
        <f>[113]Nardini_etal_1998b_Fig4!B6</f>
        <v>4.07213632245053E-2</v>
      </c>
      <c r="AK884" t="s">
        <v>199</v>
      </c>
    </row>
    <row r="885" spans="1:37" hidden="1" x14ac:dyDescent="0.25">
      <c r="A885" t="s">
        <v>404</v>
      </c>
      <c r="B885" t="s">
        <v>176</v>
      </c>
      <c r="C885" t="s">
        <v>177</v>
      </c>
      <c r="D885" t="s">
        <v>140</v>
      </c>
      <c r="E885" t="s">
        <v>17</v>
      </c>
      <c r="F885" t="s">
        <v>69</v>
      </c>
      <c r="G885" t="s">
        <v>616</v>
      </c>
      <c r="H885" t="s">
        <v>760</v>
      </c>
      <c r="I885" t="s">
        <v>705</v>
      </c>
      <c r="J885">
        <f t="shared" si="124"/>
        <v>1460</v>
      </c>
      <c r="K885" t="s">
        <v>753</v>
      </c>
      <c r="L885" t="s">
        <v>167</v>
      </c>
      <c r="M885" t="s">
        <v>707</v>
      </c>
      <c r="R885" t="s">
        <v>408</v>
      </c>
      <c r="S885" t="s">
        <v>701</v>
      </c>
      <c r="T885" t="s">
        <v>695</v>
      </c>
      <c r="U885" t="s">
        <v>609</v>
      </c>
      <c r="V885" s="1" t="s">
        <v>733</v>
      </c>
      <c r="W885" s="1">
        <f t="shared" si="125"/>
        <v>2.051521391030843E-9</v>
      </c>
      <c r="X885" s="1"/>
      <c r="Y885" s="1"/>
      <c r="Z885" s="1"/>
      <c r="AA885" s="1"/>
      <c r="AC885" s="1">
        <f>[113]Nardini_etal_1998b_Fig4!A7</f>
        <v>6.1168756515554596E-8</v>
      </c>
      <c r="AF885" s="2"/>
      <c r="AG885" s="2"/>
      <c r="AI885" s="5">
        <f>[113]Nardini_etal_1998b_Fig4!B7</f>
        <v>3.3538713354572799E-2</v>
      </c>
      <c r="AK885" t="s">
        <v>199</v>
      </c>
    </row>
    <row r="886" spans="1:37" hidden="1" x14ac:dyDescent="0.25">
      <c r="A886" t="s">
        <v>404</v>
      </c>
      <c r="B886" t="s">
        <v>178</v>
      </c>
      <c r="C886" t="s">
        <v>179</v>
      </c>
      <c r="D886" t="s">
        <v>22</v>
      </c>
      <c r="E886" t="s">
        <v>17</v>
      </c>
      <c r="F886" t="s">
        <v>69</v>
      </c>
      <c r="G886" t="s">
        <v>616</v>
      </c>
      <c r="H886" t="s">
        <v>760</v>
      </c>
      <c r="I886" t="s">
        <v>705</v>
      </c>
      <c r="J886">
        <f t="shared" si="124"/>
        <v>1460</v>
      </c>
      <c r="K886" t="s">
        <v>753</v>
      </c>
      <c r="L886" t="s">
        <v>169</v>
      </c>
      <c r="M886" t="s">
        <v>707</v>
      </c>
      <c r="R886" t="s">
        <v>408</v>
      </c>
      <c r="S886" t="s">
        <v>701</v>
      </c>
      <c r="T886" t="s">
        <v>695</v>
      </c>
      <c r="U886" t="s">
        <v>609</v>
      </c>
      <c r="V886" s="1" t="s">
        <v>733</v>
      </c>
      <c r="W886" s="1">
        <f t="shared" si="125"/>
        <v>3.2787123328604589E-10</v>
      </c>
      <c r="X886" s="1"/>
      <c r="Y886" s="1"/>
      <c r="Z886" s="1"/>
      <c r="AA886" s="1"/>
      <c r="AC886" s="1">
        <f>[113]Nardini_etal_1998b_Fig4!A8</f>
        <v>1.39226519337016E-8</v>
      </c>
      <c r="AF886" s="2"/>
      <c r="AG886" s="2"/>
      <c r="AI886" s="5">
        <f>[113]Nardini_etal_1998b_Fig4!B8</f>
        <v>2.35494814384026E-2</v>
      </c>
      <c r="AK886" t="s">
        <v>199</v>
      </c>
    </row>
    <row r="887" spans="1:37" hidden="1" x14ac:dyDescent="0.25">
      <c r="A887" t="s">
        <v>404</v>
      </c>
      <c r="B887" t="s">
        <v>178</v>
      </c>
      <c r="C887" t="s">
        <v>179</v>
      </c>
      <c r="D887" t="s">
        <v>22</v>
      </c>
      <c r="E887" t="s">
        <v>17</v>
      </c>
      <c r="F887" t="s">
        <v>69</v>
      </c>
      <c r="G887" t="s">
        <v>616</v>
      </c>
      <c r="H887" t="s">
        <v>760</v>
      </c>
      <c r="I887" t="s">
        <v>705</v>
      </c>
      <c r="J887">
        <f t="shared" si="124"/>
        <v>1460</v>
      </c>
      <c r="K887" t="s">
        <v>753</v>
      </c>
      <c r="L887" t="s">
        <v>167</v>
      </c>
      <c r="M887" t="s">
        <v>707</v>
      </c>
      <c r="R887" t="s">
        <v>408</v>
      </c>
      <c r="S887" t="s">
        <v>701</v>
      </c>
      <c r="T887" t="s">
        <v>695</v>
      </c>
      <c r="U887" t="s">
        <v>609</v>
      </c>
      <c r="V887" s="1" t="s">
        <v>733</v>
      </c>
      <c r="W887" s="1">
        <f t="shared" si="125"/>
        <v>2.4161494973966141E-9</v>
      </c>
      <c r="X887" s="1"/>
      <c r="Y887" s="1"/>
      <c r="Z887" s="1"/>
      <c r="AA887" s="1"/>
      <c r="AC887" s="1">
        <f>[113]Nardini_etal_1998b_Fig4!A9</f>
        <v>4.4751381215469598E-8</v>
      </c>
      <c r="AF887" s="2"/>
      <c r="AG887" s="2"/>
      <c r="AI887" s="5">
        <f>[113]Nardini_etal_1998b_Fig4!B9</f>
        <v>5.39905011146651E-2</v>
      </c>
      <c r="AK887" t="s">
        <v>199</v>
      </c>
    </row>
    <row r="888" spans="1:37" hidden="1" x14ac:dyDescent="0.25">
      <c r="A888" t="s">
        <v>404</v>
      </c>
      <c r="B888" t="s">
        <v>178</v>
      </c>
      <c r="C888" t="s">
        <v>179</v>
      </c>
      <c r="D888" t="s">
        <v>22</v>
      </c>
      <c r="E888" t="s">
        <v>17</v>
      </c>
      <c r="F888" t="s">
        <v>69</v>
      </c>
      <c r="G888" t="s">
        <v>616</v>
      </c>
      <c r="H888" t="s">
        <v>760</v>
      </c>
      <c r="I888" t="s">
        <v>705</v>
      </c>
      <c r="J888">
        <f t="shared" si="124"/>
        <v>1460</v>
      </c>
      <c r="K888" t="s">
        <v>753</v>
      </c>
      <c r="L888" t="s">
        <v>168</v>
      </c>
      <c r="M888" t="s">
        <v>707</v>
      </c>
      <c r="R888" t="s">
        <v>408</v>
      </c>
      <c r="S888" t="s">
        <v>701</v>
      </c>
      <c r="T888" t="s">
        <v>695</v>
      </c>
      <c r="U888" t="s">
        <v>609</v>
      </c>
      <c r="V888" s="1" t="s">
        <v>733</v>
      </c>
      <c r="W888" s="1">
        <f t="shared" si="125"/>
        <v>2.8959041479037088E-9</v>
      </c>
      <c r="X888" s="1"/>
      <c r="Y888" s="1"/>
      <c r="Z888" s="1"/>
      <c r="AA888" s="1"/>
      <c r="AC888" s="1">
        <f>[113]Nardini_etal_1998b_Fig4!A10</f>
        <v>8.3204419889502802E-8</v>
      </c>
      <c r="AF888" s="2"/>
      <c r="AG888" s="2"/>
      <c r="AI888" s="5">
        <f>[113]Nardini_etal_1998b_Fig4!B10</f>
        <v>3.48046912862265E-2</v>
      </c>
      <c r="AK888" t="s">
        <v>199</v>
      </c>
    </row>
    <row r="889" spans="1:37" hidden="1" x14ac:dyDescent="0.25">
      <c r="A889" t="s">
        <v>404</v>
      </c>
      <c r="B889" t="s">
        <v>180</v>
      </c>
      <c r="C889" t="s">
        <v>179</v>
      </c>
      <c r="D889" t="s">
        <v>22</v>
      </c>
      <c r="E889" t="s">
        <v>17</v>
      </c>
      <c r="F889" t="s">
        <v>69</v>
      </c>
      <c r="G889" t="s">
        <v>616</v>
      </c>
      <c r="H889" t="s">
        <v>760</v>
      </c>
      <c r="I889" t="s">
        <v>705</v>
      </c>
      <c r="J889">
        <f t="shared" si="124"/>
        <v>1460</v>
      </c>
      <c r="K889" t="s">
        <v>753</v>
      </c>
      <c r="L889" t="s">
        <v>169</v>
      </c>
      <c r="M889" t="s">
        <v>707</v>
      </c>
      <c r="R889" t="s">
        <v>408</v>
      </c>
      <c r="S889" t="s">
        <v>701</v>
      </c>
      <c r="T889" t="s">
        <v>695</v>
      </c>
      <c r="U889" t="s">
        <v>609</v>
      </c>
      <c r="V889" s="1" t="s">
        <v>733</v>
      </c>
      <c r="W889" s="1">
        <f t="shared" si="125"/>
        <v>2.9697610777129179E-10</v>
      </c>
      <c r="X889" s="1"/>
      <c r="Y889" s="1"/>
      <c r="Z889" s="1"/>
      <c r="AA889" s="1"/>
      <c r="AC889" s="1">
        <f>[113]Nardini_etal_1998b_Fig4!A11</f>
        <v>8.78180989209544E-9</v>
      </c>
      <c r="AF889" s="2"/>
      <c r="AG889" s="2"/>
      <c r="AI889" s="5">
        <f>[113]Nardini_etal_1998b_Fig4!B11</f>
        <v>3.3817187051453E-2</v>
      </c>
      <c r="AK889" t="s">
        <v>199</v>
      </c>
    </row>
    <row r="890" spans="1:37" hidden="1" x14ac:dyDescent="0.25">
      <c r="A890" t="s">
        <v>404</v>
      </c>
      <c r="B890" t="s">
        <v>180</v>
      </c>
      <c r="C890" t="s">
        <v>179</v>
      </c>
      <c r="D890" t="s">
        <v>22</v>
      </c>
      <c r="E890" t="s">
        <v>17</v>
      </c>
      <c r="F890" t="s">
        <v>69</v>
      </c>
      <c r="G890" t="s">
        <v>616</v>
      </c>
      <c r="H890" t="s">
        <v>760</v>
      </c>
      <c r="I890" t="s">
        <v>705</v>
      </c>
      <c r="J890">
        <f t="shared" si="124"/>
        <v>1460</v>
      </c>
      <c r="K890" t="s">
        <v>753</v>
      </c>
      <c r="L890" t="s">
        <v>167</v>
      </c>
      <c r="M890" t="s">
        <v>707</v>
      </c>
      <c r="R890" t="s">
        <v>408</v>
      </c>
      <c r="S890" t="s">
        <v>701</v>
      </c>
      <c r="T890" t="s">
        <v>695</v>
      </c>
      <c r="U890" t="s">
        <v>609</v>
      </c>
      <c r="V890" s="1" t="s">
        <v>733</v>
      </c>
      <c r="W890" s="1">
        <f t="shared" si="125"/>
        <v>6.9253608844557525E-10</v>
      </c>
      <c r="X890" s="1"/>
      <c r="Y890" s="1"/>
      <c r="Z890" s="1"/>
      <c r="AA890" s="1"/>
      <c r="AC890" s="1">
        <f>[113]Nardini_etal_1998b_Fig4!A12</f>
        <v>2.5724345227038599E-8</v>
      </c>
      <c r="AF890" s="2"/>
      <c r="AG890" s="2"/>
      <c r="AI890" s="5">
        <f>[113]Nardini_etal_1998b_Fig4!B12</f>
        <v>2.69214272446343E-2</v>
      </c>
      <c r="AK890" t="s">
        <v>199</v>
      </c>
    </row>
    <row r="891" spans="1:37" hidden="1" x14ac:dyDescent="0.25">
      <c r="A891" t="s">
        <v>404</v>
      </c>
      <c r="B891" t="s">
        <v>180</v>
      </c>
      <c r="C891" t="s">
        <v>179</v>
      </c>
      <c r="D891" t="s">
        <v>22</v>
      </c>
      <c r="E891" t="s">
        <v>17</v>
      </c>
      <c r="F891" t="s">
        <v>69</v>
      </c>
      <c r="G891" t="s">
        <v>616</v>
      </c>
      <c r="H891" t="s">
        <v>760</v>
      </c>
      <c r="I891" t="s">
        <v>705</v>
      </c>
      <c r="J891">
        <f t="shared" si="124"/>
        <v>1460</v>
      </c>
      <c r="K891" t="s">
        <v>753</v>
      </c>
      <c r="L891" t="s">
        <v>168</v>
      </c>
      <c r="M891" t="s">
        <v>707</v>
      </c>
      <c r="R891" t="s">
        <v>408</v>
      </c>
      <c r="S891" t="s">
        <v>701</v>
      </c>
      <c r="T891" t="s">
        <v>695</v>
      </c>
      <c r="U891" t="s">
        <v>609</v>
      </c>
      <c r="V891" s="1" t="s">
        <v>733</v>
      </c>
      <c r="W891" s="1">
        <f t="shared" si="125"/>
        <v>8.1211428236199464E-10</v>
      </c>
      <c r="X891" s="1"/>
      <c r="Y891" s="1"/>
      <c r="Z891" s="1"/>
      <c r="AA891" s="1"/>
      <c r="AC891" s="1">
        <f>[113]Nardini_etal_1998b_Fig4!A13</f>
        <v>3.1878957766932899E-8</v>
      </c>
      <c r="AF891" s="2"/>
      <c r="AG891" s="2"/>
      <c r="AI891" s="5">
        <f>[113]Nardini_etal_1998b_Fig4!B13</f>
        <v>2.5474932031949199E-2</v>
      </c>
      <c r="AK891" t="s">
        <v>199</v>
      </c>
    </row>
    <row r="892" spans="1:37" hidden="1" x14ac:dyDescent="0.25">
      <c r="A892" t="s">
        <v>404</v>
      </c>
      <c r="B892" t="s">
        <v>181</v>
      </c>
      <c r="C892" t="s">
        <v>182</v>
      </c>
      <c r="D892" t="s">
        <v>89</v>
      </c>
      <c r="E892" t="s">
        <v>17</v>
      </c>
      <c r="F892" t="s">
        <v>23</v>
      </c>
      <c r="G892" t="s">
        <v>617</v>
      </c>
      <c r="H892" t="s">
        <v>760</v>
      </c>
      <c r="I892" t="s">
        <v>705</v>
      </c>
      <c r="J892">
        <f t="shared" si="124"/>
        <v>1460</v>
      </c>
      <c r="K892" t="s">
        <v>753</v>
      </c>
      <c r="L892" t="s">
        <v>169</v>
      </c>
      <c r="M892" t="s">
        <v>707</v>
      </c>
      <c r="R892" t="s">
        <v>408</v>
      </c>
      <c r="S892" t="s">
        <v>701</v>
      </c>
      <c r="T892" t="s">
        <v>695</v>
      </c>
      <c r="U892" t="s">
        <v>609</v>
      </c>
      <c r="V892" s="1" t="s">
        <v>733</v>
      </c>
      <c r="W892" s="1">
        <f t="shared" si="125"/>
        <v>1.3040863357772075E-10</v>
      </c>
      <c r="X892" s="1"/>
      <c r="Y892" s="1"/>
      <c r="Z892" s="1"/>
      <c r="AA892" s="1"/>
      <c r="AC892" s="1">
        <f>[113]Nardini_etal_1998b_Fig4!A14</f>
        <v>4.9165379189898701E-9</v>
      </c>
      <c r="AF892" s="2"/>
      <c r="AG892" s="2"/>
      <c r="AI892" s="5">
        <f>[113]Nardini_etal_1998b_Fig4!B14</f>
        <v>2.65244844495197E-2</v>
      </c>
      <c r="AK892" t="s">
        <v>199</v>
      </c>
    </row>
    <row r="893" spans="1:37" hidden="1" x14ac:dyDescent="0.25">
      <c r="A893" t="s">
        <v>404</v>
      </c>
      <c r="B893" t="s">
        <v>181</v>
      </c>
      <c r="C893" t="s">
        <v>182</v>
      </c>
      <c r="D893" t="s">
        <v>89</v>
      </c>
      <c r="E893" t="s">
        <v>17</v>
      </c>
      <c r="F893" t="s">
        <v>23</v>
      </c>
      <c r="G893" t="s">
        <v>617</v>
      </c>
      <c r="H893" t="s">
        <v>760</v>
      </c>
      <c r="I893" t="s">
        <v>705</v>
      </c>
      <c r="J893">
        <f t="shared" si="124"/>
        <v>1460</v>
      </c>
      <c r="K893" t="s">
        <v>753</v>
      </c>
      <c r="L893" t="s">
        <v>167</v>
      </c>
      <c r="M893" t="s">
        <v>707</v>
      </c>
      <c r="R893" t="s">
        <v>408</v>
      </c>
      <c r="S893" t="s">
        <v>701</v>
      </c>
      <c r="T893" t="s">
        <v>695</v>
      </c>
      <c r="U893" t="s">
        <v>609</v>
      </c>
      <c r="V893" s="1" t="s">
        <v>733</v>
      </c>
      <c r="W893" s="1">
        <f t="shared" si="125"/>
        <v>2.9791085172751488E-10</v>
      </c>
      <c r="X893" s="1"/>
      <c r="Y893" s="1"/>
      <c r="Z893" s="1"/>
      <c r="AA893" s="1"/>
      <c r="AC893" s="1">
        <f>[113]Nardini_etal_1998b_Fig4!A15</f>
        <v>1.1871935245516299E-8</v>
      </c>
      <c r="AF893" s="2"/>
      <c r="AG893" s="2"/>
      <c r="AI893" s="5">
        <f>[113]Nardini_etal_1998b_Fig4!B15</f>
        <v>2.5093705917914901E-2</v>
      </c>
      <c r="AK893" t="s">
        <v>199</v>
      </c>
    </row>
    <row r="894" spans="1:37" hidden="1" x14ac:dyDescent="0.25">
      <c r="A894" t="s">
        <v>404</v>
      </c>
      <c r="B894" t="s">
        <v>181</v>
      </c>
      <c r="C894" t="s">
        <v>182</v>
      </c>
      <c r="D894" t="s">
        <v>89</v>
      </c>
      <c r="E894" t="s">
        <v>17</v>
      </c>
      <c r="F894" t="s">
        <v>23</v>
      </c>
      <c r="G894" t="s">
        <v>617</v>
      </c>
      <c r="H894" t="s">
        <v>760</v>
      </c>
      <c r="I894" t="s">
        <v>705</v>
      </c>
      <c r="J894">
        <f t="shared" si="124"/>
        <v>1460</v>
      </c>
      <c r="K894" t="s">
        <v>753</v>
      </c>
      <c r="L894" t="s">
        <v>168</v>
      </c>
      <c r="M894" t="s">
        <v>707</v>
      </c>
      <c r="R894" t="s">
        <v>408</v>
      </c>
      <c r="S894" t="s">
        <v>701</v>
      </c>
      <c r="T894" t="s">
        <v>695</v>
      </c>
      <c r="U894" t="s">
        <v>609</v>
      </c>
      <c r="V894" s="1" t="s">
        <v>733</v>
      </c>
      <c r="W894" s="1">
        <f t="shared" si="125"/>
        <v>6.8243547112706735E-10</v>
      </c>
      <c r="X894" s="1"/>
      <c r="Y894" s="1"/>
      <c r="Z894" s="1"/>
      <c r="AA894" s="1"/>
      <c r="AC894" s="1">
        <f>[113]Nardini_etal_1998b_Fig4!A16</f>
        <v>3.6872271109021397E-8</v>
      </c>
      <c r="AF894" s="2"/>
      <c r="AG894" s="2"/>
      <c r="AI894" s="5">
        <f>[113]Nardini_etal_1998b_Fig4!B16</f>
        <v>1.8508094310472199E-2</v>
      </c>
      <c r="AK894" t="s">
        <v>199</v>
      </c>
    </row>
    <row r="895" spans="1:37" hidden="1" x14ac:dyDescent="0.25">
      <c r="A895" t="s">
        <v>404</v>
      </c>
      <c r="B895" t="s">
        <v>183</v>
      </c>
      <c r="C895" t="s">
        <v>21</v>
      </c>
      <c r="D895" t="s">
        <v>22</v>
      </c>
      <c r="E895" t="s">
        <v>17</v>
      </c>
      <c r="F895" t="s">
        <v>23</v>
      </c>
      <c r="G895" t="s">
        <v>763</v>
      </c>
      <c r="H895" t="s">
        <v>760</v>
      </c>
      <c r="I895" t="s">
        <v>705</v>
      </c>
      <c r="J895">
        <f t="shared" si="124"/>
        <v>1460</v>
      </c>
      <c r="K895" t="s">
        <v>753</v>
      </c>
      <c r="L895" t="s">
        <v>169</v>
      </c>
      <c r="M895" t="s">
        <v>707</v>
      </c>
      <c r="R895" t="s">
        <v>408</v>
      </c>
      <c r="S895" t="s">
        <v>701</v>
      </c>
      <c r="T895" t="s">
        <v>695</v>
      </c>
      <c r="U895" t="s">
        <v>609</v>
      </c>
      <c r="V895" s="1" t="s">
        <v>733</v>
      </c>
      <c r="W895" s="1">
        <f t="shared" si="125"/>
        <v>2.2598388097028E-9</v>
      </c>
      <c r="X895" s="1"/>
      <c r="Y895" s="1"/>
      <c r="Z895" s="1"/>
      <c r="AA895" s="1"/>
      <c r="AC895" s="1">
        <f>[113]Nardini_etal_1998b_Fig4!A17</f>
        <v>9.1097266071068695E-8</v>
      </c>
      <c r="AF895" s="2"/>
      <c r="AG895" s="2"/>
      <c r="AI895" s="5">
        <f>[113]Nardini_etal_1998b_Fig4!B17</f>
        <v>2.4806878484583801E-2</v>
      </c>
      <c r="AK895" t="s">
        <v>199</v>
      </c>
    </row>
    <row r="896" spans="1:37" hidden="1" x14ac:dyDescent="0.25">
      <c r="A896" t="s">
        <v>404</v>
      </c>
      <c r="B896" t="s">
        <v>183</v>
      </c>
      <c r="C896" t="s">
        <v>21</v>
      </c>
      <c r="D896" t="s">
        <v>22</v>
      </c>
      <c r="E896" t="s">
        <v>17</v>
      </c>
      <c r="F896" t="s">
        <v>23</v>
      </c>
      <c r="G896" t="s">
        <v>763</v>
      </c>
      <c r="H896" t="s">
        <v>760</v>
      </c>
      <c r="I896" t="s">
        <v>705</v>
      </c>
      <c r="J896">
        <f t="shared" si="124"/>
        <v>1460</v>
      </c>
      <c r="K896" t="s">
        <v>753</v>
      </c>
      <c r="L896" t="s">
        <v>168</v>
      </c>
      <c r="M896" t="s">
        <v>707</v>
      </c>
      <c r="R896" t="s">
        <v>408</v>
      </c>
      <c r="S896" t="s">
        <v>701</v>
      </c>
      <c r="T896" t="s">
        <v>695</v>
      </c>
      <c r="U896" t="s">
        <v>609</v>
      </c>
      <c r="V896" s="1" t="s">
        <v>733</v>
      </c>
      <c r="W896" s="1">
        <f t="shared" si="125"/>
        <v>1.4669310880914008E-9</v>
      </c>
      <c r="X896" s="1"/>
      <c r="Y896" s="1"/>
      <c r="Z896" s="1"/>
      <c r="AA896" s="1"/>
      <c r="AC896" s="1">
        <f>[113]Nardini_etal_1998b_Fig4!A18</f>
        <v>9.2054980855780197E-8</v>
      </c>
      <c r="AF896" s="2"/>
      <c r="AG896" s="2"/>
      <c r="AI896" s="5">
        <f>[113]Nardini_etal_1998b_Fig4!B18</f>
        <v>1.5935379861624199E-2</v>
      </c>
      <c r="AK896" t="s">
        <v>199</v>
      </c>
    </row>
    <row r="897" spans="1:37" hidden="1" x14ac:dyDescent="0.25">
      <c r="A897" t="s">
        <v>404</v>
      </c>
      <c r="B897" t="s">
        <v>183</v>
      </c>
      <c r="C897" t="s">
        <v>21</v>
      </c>
      <c r="D897" t="s">
        <v>22</v>
      </c>
      <c r="E897" t="s">
        <v>17</v>
      </c>
      <c r="F897" t="s">
        <v>23</v>
      </c>
      <c r="G897" t="s">
        <v>763</v>
      </c>
      <c r="H897" t="s">
        <v>760</v>
      </c>
      <c r="I897" t="s">
        <v>705</v>
      </c>
      <c r="J897">
        <f t="shared" si="124"/>
        <v>1460</v>
      </c>
      <c r="K897" t="s">
        <v>753</v>
      </c>
      <c r="L897" t="s">
        <v>167</v>
      </c>
      <c r="M897" t="s">
        <v>707</v>
      </c>
      <c r="R897" t="s">
        <v>408</v>
      </c>
      <c r="S897" t="s">
        <v>701</v>
      </c>
      <c r="T897" t="s">
        <v>695</v>
      </c>
      <c r="U897" t="s">
        <v>609</v>
      </c>
      <c r="V897" s="1" t="s">
        <v>733</v>
      </c>
      <c r="W897" s="1">
        <f t="shared" si="125"/>
        <v>1.3593463661669048E-9</v>
      </c>
      <c r="X897" s="1"/>
      <c r="Y897" s="1"/>
      <c r="Z897" s="1"/>
      <c r="AA897" s="1"/>
      <c r="AC897" s="1">
        <f>[113]Nardini_etal_1998b_Fig4!A19</f>
        <v>1.2021260159870999E-7</v>
      </c>
      <c r="AF897" s="2"/>
      <c r="AG897" s="2"/>
      <c r="AI897" s="5">
        <f>[113]Nardini_etal_1998b_Fig4!B19</f>
        <v>1.13078524887485E-2</v>
      </c>
      <c r="AK897" t="s">
        <v>199</v>
      </c>
    </row>
    <row r="898" spans="1:37" hidden="1" x14ac:dyDescent="0.25">
      <c r="A898" t="s">
        <v>184</v>
      </c>
      <c r="B898" t="s">
        <v>183</v>
      </c>
      <c r="C898" t="s">
        <v>21</v>
      </c>
      <c r="D898" t="s">
        <v>22</v>
      </c>
      <c r="E898" t="s">
        <v>17</v>
      </c>
      <c r="F898" t="s">
        <v>23</v>
      </c>
      <c r="G898" t="s">
        <v>763</v>
      </c>
      <c r="H898" t="s">
        <v>760</v>
      </c>
      <c r="I898" t="s">
        <v>705</v>
      </c>
      <c r="J898">
        <f>3*365</f>
        <v>1095</v>
      </c>
      <c r="K898" t="s">
        <v>48</v>
      </c>
      <c r="L898" t="s">
        <v>36</v>
      </c>
      <c r="M898" t="str">
        <f t="shared" ref="M898:M905" si="126">+IF(L898 = "Control", "Control", "Stress")</f>
        <v>Control</v>
      </c>
      <c r="R898" t="s">
        <v>408</v>
      </c>
      <c r="S898" t="s">
        <v>701</v>
      </c>
      <c r="T898" t="s">
        <v>695</v>
      </c>
      <c r="U898" t="s">
        <v>609</v>
      </c>
      <c r="V898" s="1" t="s">
        <v>733</v>
      </c>
      <c r="W898" s="1">
        <f t="shared" si="125"/>
        <v>2.0586E-10</v>
      </c>
      <c r="X898" s="1"/>
      <c r="Y898" s="1"/>
      <c r="Z898" s="1"/>
      <c r="AA898" s="1"/>
      <c r="AC898" s="1">
        <v>1.46E-8</v>
      </c>
      <c r="AF898" s="2"/>
      <c r="AG898" s="2"/>
      <c r="AI898" s="5">
        <v>1.41E-2</v>
      </c>
      <c r="AK898" t="s">
        <v>199</v>
      </c>
    </row>
    <row r="899" spans="1:37" hidden="1" x14ac:dyDescent="0.25">
      <c r="A899" t="s">
        <v>184</v>
      </c>
      <c r="B899" t="s">
        <v>183</v>
      </c>
      <c r="C899" t="s">
        <v>21</v>
      </c>
      <c r="D899" t="s">
        <v>22</v>
      </c>
      <c r="E899" t="s">
        <v>17</v>
      </c>
      <c r="F899" t="s">
        <v>23</v>
      </c>
      <c r="G899" t="s">
        <v>763</v>
      </c>
      <c r="H899" t="s">
        <v>760</v>
      </c>
      <c r="I899" t="s">
        <v>705</v>
      </c>
      <c r="J899">
        <v>1095</v>
      </c>
      <c r="K899" t="s">
        <v>48</v>
      </c>
      <c r="L899" t="s">
        <v>48</v>
      </c>
      <c r="M899" t="str">
        <f t="shared" si="126"/>
        <v>Stress</v>
      </c>
      <c r="R899" t="s">
        <v>408</v>
      </c>
      <c r="S899" t="s">
        <v>701</v>
      </c>
      <c r="T899" t="s">
        <v>695</v>
      </c>
      <c r="U899" t="s">
        <v>609</v>
      </c>
      <c r="V899" s="1" t="s">
        <v>733</v>
      </c>
      <c r="W899" s="1">
        <f t="shared" si="125"/>
        <v>3.2429999999999998E-11</v>
      </c>
      <c r="X899" s="1"/>
      <c r="Y899" s="1"/>
      <c r="Z899" s="1"/>
      <c r="AA899" s="1"/>
      <c r="AC899" s="1">
        <v>2.2999999999999999E-9</v>
      </c>
      <c r="AF899" s="2"/>
      <c r="AG899" s="2"/>
      <c r="AI899" s="5">
        <v>1.41E-2</v>
      </c>
      <c r="AK899" t="s">
        <v>199</v>
      </c>
    </row>
    <row r="900" spans="1:37" hidden="1" x14ac:dyDescent="0.25">
      <c r="A900" t="s">
        <v>534</v>
      </c>
      <c r="B900" t="s">
        <v>535</v>
      </c>
      <c r="C900" t="s">
        <v>536</v>
      </c>
      <c r="D900" t="s">
        <v>537</v>
      </c>
      <c r="E900" t="s">
        <v>17</v>
      </c>
      <c r="F900" t="s">
        <v>614</v>
      </c>
      <c r="G900" t="s">
        <v>614</v>
      </c>
      <c r="H900" t="s">
        <v>801</v>
      </c>
      <c r="I900" t="s">
        <v>804</v>
      </c>
      <c r="J900">
        <f>5*7+7</f>
        <v>42</v>
      </c>
      <c r="K900" t="s">
        <v>665</v>
      </c>
      <c r="L900" t="s">
        <v>36</v>
      </c>
      <c r="M900" t="str">
        <f t="shared" si="126"/>
        <v>Control</v>
      </c>
      <c r="N900" t="s">
        <v>538</v>
      </c>
      <c r="O900" t="s">
        <v>707</v>
      </c>
      <c r="R900" t="s">
        <v>408</v>
      </c>
      <c r="S900" t="s">
        <v>701</v>
      </c>
      <c r="T900" t="s">
        <v>695</v>
      </c>
      <c r="U900" t="s">
        <v>609</v>
      </c>
      <c r="V900" s="1"/>
      <c r="W900" s="1"/>
      <c r="X900" s="1"/>
      <c r="Y900" s="1">
        <v>2.8999999999999999E-9</v>
      </c>
      <c r="Z900" s="1"/>
      <c r="AA900" s="1"/>
      <c r="AC900" s="1"/>
      <c r="AF900" s="2"/>
      <c r="AG900" s="2"/>
      <c r="AK900" t="s">
        <v>360</v>
      </c>
    </row>
    <row r="901" spans="1:37" hidden="1" x14ac:dyDescent="0.25">
      <c r="A901" t="s">
        <v>534</v>
      </c>
      <c r="B901" t="s">
        <v>535</v>
      </c>
      <c r="C901" t="s">
        <v>536</v>
      </c>
      <c r="D901" t="s">
        <v>537</v>
      </c>
      <c r="E901" t="s">
        <v>17</v>
      </c>
      <c r="F901" t="s">
        <v>614</v>
      </c>
      <c r="G901" t="s">
        <v>614</v>
      </c>
      <c r="H901" t="s">
        <v>801</v>
      </c>
      <c r="I901" t="s">
        <v>804</v>
      </c>
      <c r="J901">
        <f>5*7+7</f>
        <v>42</v>
      </c>
      <c r="K901" t="s">
        <v>665</v>
      </c>
      <c r="L901" t="s">
        <v>496</v>
      </c>
      <c r="M901" t="str">
        <f t="shared" si="126"/>
        <v>Stress</v>
      </c>
      <c r="N901" t="s">
        <v>538</v>
      </c>
      <c r="O901" t="s">
        <v>707</v>
      </c>
      <c r="R901" t="s">
        <v>408</v>
      </c>
      <c r="S901" t="s">
        <v>701</v>
      </c>
      <c r="T901" t="s">
        <v>695</v>
      </c>
      <c r="U901" t="s">
        <v>609</v>
      </c>
      <c r="V901" s="1"/>
      <c r="W901" s="1"/>
      <c r="X901" s="1"/>
      <c r="Y901" s="1">
        <v>1.38E-9</v>
      </c>
      <c r="Z901" s="1"/>
      <c r="AA901" s="1"/>
      <c r="AC901" s="1"/>
      <c r="AF901" s="2"/>
      <c r="AG901" s="2"/>
      <c r="AK901" t="s">
        <v>360</v>
      </c>
    </row>
    <row r="902" spans="1:37" hidden="1" x14ac:dyDescent="0.25">
      <c r="A902" t="s">
        <v>534</v>
      </c>
      <c r="B902" t="s">
        <v>535</v>
      </c>
      <c r="C902" t="s">
        <v>536</v>
      </c>
      <c r="D902" t="s">
        <v>537</v>
      </c>
      <c r="E902" t="s">
        <v>17</v>
      </c>
      <c r="F902" t="s">
        <v>614</v>
      </c>
      <c r="G902" t="s">
        <v>614</v>
      </c>
      <c r="H902" t="s">
        <v>801</v>
      </c>
      <c r="I902" t="s">
        <v>804</v>
      </c>
      <c r="J902">
        <f>5*7+7</f>
        <v>42</v>
      </c>
      <c r="K902" t="s">
        <v>665</v>
      </c>
      <c r="L902" t="s">
        <v>36</v>
      </c>
      <c r="M902" t="str">
        <f t="shared" si="126"/>
        <v>Control</v>
      </c>
      <c r="N902" t="s">
        <v>539</v>
      </c>
      <c r="O902" t="s">
        <v>707</v>
      </c>
      <c r="R902" t="s">
        <v>408</v>
      </c>
      <c r="S902" t="s">
        <v>701</v>
      </c>
      <c r="T902" t="s">
        <v>695</v>
      </c>
      <c r="U902" t="s">
        <v>609</v>
      </c>
      <c r="V902" s="1"/>
      <c r="W902" s="1"/>
      <c r="X902" s="1"/>
      <c r="Y902" s="1">
        <v>2.3500000000000004E-9</v>
      </c>
      <c r="Z902" s="1"/>
      <c r="AA902" s="1"/>
      <c r="AC902" s="1"/>
      <c r="AF902" s="2"/>
      <c r="AG902" s="2"/>
      <c r="AK902" t="s">
        <v>360</v>
      </c>
    </row>
    <row r="903" spans="1:37" hidden="1" x14ac:dyDescent="0.25">
      <c r="A903" t="s">
        <v>534</v>
      </c>
      <c r="B903" t="s">
        <v>535</v>
      </c>
      <c r="C903" t="s">
        <v>536</v>
      </c>
      <c r="D903" t="s">
        <v>537</v>
      </c>
      <c r="E903" t="s">
        <v>17</v>
      </c>
      <c r="F903" t="s">
        <v>614</v>
      </c>
      <c r="G903" t="s">
        <v>614</v>
      </c>
      <c r="H903" t="s">
        <v>801</v>
      </c>
      <c r="I903" t="s">
        <v>804</v>
      </c>
      <c r="J903">
        <f>5*7+7</f>
        <v>42</v>
      </c>
      <c r="K903" t="s">
        <v>665</v>
      </c>
      <c r="L903" t="s">
        <v>496</v>
      </c>
      <c r="M903" t="str">
        <f t="shared" si="126"/>
        <v>Stress</v>
      </c>
      <c r="N903" t="s">
        <v>539</v>
      </c>
      <c r="O903" t="s">
        <v>707</v>
      </c>
      <c r="R903" t="s">
        <v>408</v>
      </c>
      <c r="S903" t="s">
        <v>701</v>
      </c>
      <c r="T903" t="s">
        <v>695</v>
      </c>
      <c r="U903" t="s">
        <v>609</v>
      </c>
      <c r="V903" s="1"/>
      <c r="W903" s="1"/>
      <c r="X903" s="1"/>
      <c r="Y903" s="1">
        <v>1.63E-9</v>
      </c>
      <c r="Z903" s="1"/>
      <c r="AA903" s="1"/>
      <c r="AC903" s="1"/>
      <c r="AF903" s="2"/>
      <c r="AG903" s="2"/>
      <c r="AK903" t="s">
        <v>360</v>
      </c>
    </row>
    <row r="904" spans="1:37" hidden="1" x14ac:dyDescent="0.25">
      <c r="A904" t="s">
        <v>599</v>
      </c>
      <c r="B904" t="s">
        <v>32</v>
      </c>
      <c r="C904" t="s">
        <v>33</v>
      </c>
      <c r="D904" t="s">
        <v>34</v>
      </c>
      <c r="E904" t="s">
        <v>17</v>
      </c>
      <c r="F904" t="s">
        <v>614</v>
      </c>
      <c r="G904" t="s">
        <v>614</v>
      </c>
      <c r="H904" t="s">
        <v>801</v>
      </c>
      <c r="I904" t="s">
        <v>804</v>
      </c>
      <c r="J904">
        <f>2*30+14</f>
        <v>74</v>
      </c>
      <c r="K904" t="s">
        <v>48</v>
      </c>
      <c r="L904" t="s">
        <v>36</v>
      </c>
      <c r="M904" t="str">
        <f t="shared" si="126"/>
        <v>Control</v>
      </c>
      <c r="R904" t="s">
        <v>408</v>
      </c>
      <c r="S904" t="s">
        <v>701</v>
      </c>
      <c r="T904" t="s">
        <v>695</v>
      </c>
      <c r="U904" t="s">
        <v>610</v>
      </c>
      <c r="V904" s="1"/>
      <c r="W904" s="1"/>
      <c r="X904" s="1"/>
      <c r="Y904" s="1"/>
      <c r="Z904" s="1"/>
      <c r="AA904" s="1"/>
      <c r="AB904" s="1">
        <v>3.9700000000000002E-7</v>
      </c>
      <c r="AF904" s="2"/>
      <c r="AG904" s="2"/>
      <c r="AK904" t="s">
        <v>602</v>
      </c>
    </row>
    <row r="905" spans="1:37" hidden="1" x14ac:dyDescent="0.25">
      <c r="A905" t="s">
        <v>599</v>
      </c>
      <c r="B905" t="s">
        <v>32</v>
      </c>
      <c r="C905" t="s">
        <v>33</v>
      </c>
      <c r="D905" t="s">
        <v>34</v>
      </c>
      <c r="E905" t="s">
        <v>17</v>
      </c>
      <c r="F905" t="s">
        <v>614</v>
      </c>
      <c r="G905" t="s">
        <v>614</v>
      </c>
      <c r="H905" t="s">
        <v>801</v>
      </c>
      <c r="I905" t="s">
        <v>804</v>
      </c>
      <c r="J905">
        <f>2*30+14</f>
        <v>74</v>
      </c>
      <c r="K905" t="s">
        <v>48</v>
      </c>
      <c r="L905" t="s">
        <v>48</v>
      </c>
      <c r="M905" t="str">
        <f t="shared" si="126"/>
        <v>Stress</v>
      </c>
      <c r="R905" t="s">
        <v>408</v>
      </c>
      <c r="S905" t="s">
        <v>701</v>
      </c>
      <c r="T905" t="s">
        <v>695</v>
      </c>
      <c r="U905" t="s">
        <v>610</v>
      </c>
      <c r="V905" s="1"/>
      <c r="W905" s="1"/>
      <c r="X905" s="1"/>
      <c r="Y905" s="1"/>
      <c r="Z905" s="1"/>
      <c r="AA905" s="1"/>
      <c r="AB905" s="1">
        <v>1.4100000000000001E-7</v>
      </c>
      <c r="AF905" s="2"/>
      <c r="AG905" s="2"/>
      <c r="AK905" t="s">
        <v>602</v>
      </c>
    </row>
    <row r="906" spans="1:37" hidden="1" x14ac:dyDescent="0.25">
      <c r="A906" t="s">
        <v>597</v>
      </c>
      <c r="B906" t="s">
        <v>598</v>
      </c>
      <c r="C906" t="s">
        <v>174</v>
      </c>
      <c r="D906" t="s">
        <v>175</v>
      </c>
      <c r="E906" t="s">
        <v>17</v>
      </c>
      <c r="F906" t="s">
        <v>69</v>
      </c>
      <c r="G906" t="s">
        <v>616</v>
      </c>
      <c r="H906" t="s">
        <v>760</v>
      </c>
      <c r="I906" t="s">
        <v>705</v>
      </c>
      <c r="K906" t="s">
        <v>756</v>
      </c>
      <c r="L906" t="s">
        <v>756</v>
      </c>
      <c r="M906" t="s">
        <v>756</v>
      </c>
      <c r="R906" t="s">
        <v>408</v>
      </c>
      <c r="S906" t="s">
        <v>701</v>
      </c>
      <c r="T906" t="s">
        <v>695</v>
      </c>
      <c r="U906" t="s">
        <v>609</v>
      </c>
      <c r="V906" s="1"/>
      <c r="W906" s="1"/>
      <c r="X906" s="1"/>
      <c r="Y906" s="1"/>
      <c r="Z906" s="1"/>
      <c r="AA906" s="1"/>
      <c r="AC906" s="1">
        <f>1/(20600000)</f>
        <v>4.8543689320388351E-8</v>
      </c>
      <c r="AF906" s="2"/>
      <c r="AG906" s="2"/>
      <c r="AK906" t="s">
        <v>44</v>
      </c>
    </row>
    <row r="907" spans="1:37" hidden="1" x14ac:dyDescent="0.25">
      <c r="A907" t="s">
        <v>185</v>
      </c>
      <c r="B907" t="s">
        <v>202</v>
      </c>
      <c r="C907" t="s">
        <v>186</v>
      </c>
      <c r="D907" t="s">
        <v>187</v>
      </c>
      <c r="E907" t="s">
        <v>17</v>
      </c>
      <c r="F907" t="s">
        <v>613</v>
      </c>
      <c r="G907" t="s">
        <v>613</v>
      </c>
      <c r="H907" t="s">
        <v>613</v>
      </c>
      <c r="I907" t="s">
        <v>804</v>
      </c>
      <c r="J907">
        <f t="shared" ref="J907:J915" si="127">+AVERAGE(3,8)*7</f>
        <v>38.5</v>
      </c>
      <c r="K907" t="s">
        <v>738</v>
      </c>
      <c r="L907" t="s">
        <v>463</v>
      </c>
      <c r="M907" t="s">
        <v>707</v>
      </c>
      <c r="R907" t="s">
        <v>407</v>
      </c>
      <c r="S907" t="s">
        <v>701</v>
      </c>
      <c r="T907" t="s">
        <v>695</v>
      </c>
      <c r="U907" t="s">
        <v>609</v>
      </c>
      <c r="V907" s="1" t="s">
        <v>774</v>
      </c>
      <c r="W907" s="1">
        <f>'[114]Yang&amp;Grantz_1996_Fig7'!D8</f>
        <v>2.41858786133791E-9</v>
      </c>
      <c r="X907" s="1"/>
      <c r="Y907" s="1"/>
      <c r="Z907" s="1"/>
      <c r="AA907" s="1"/>
      <c r="AC907" s="1"/>
      <c r="AF907" s="2"/>
      <c r="AG907" s="2"/>
      <c r="AI907" s="5">
        <f>'[114]Yang&amp;Grantz_1996_Fig7'!C8</f>
        <v>5.9264501866277498E-2</v>
      </c>
      <c r="AK907" t="s">
        <v>44</v>
      </c>
    </row>
    <row r="908" spans="1:37" hidden="1" x14ac:dyDescent="0.25">
      <c r="A908" t="s">
        <v>185</v>
      </c>
      <c r="B908" t="s">
        <v>202</v>
      </c>
      <c r="C908" t="s">
        <v>186</v>
      </c>
      <c r="D908" t="s">
        <v>187</v>
      </c>
      <c r="E908" t="s">
        <v>17</v>
      </c>
      <c r="F908" t="s">
        <v>613</v>
      </c>
      <c r="G908" t="s">
        <v>613</v>
      </c>
      <c r="H908" t="s">
        <v>613</v>
      </c>
      <c r="I908" t="s">
        <v>804</v>
      </c>
      <c r="J908">
        <f t="shared" si="127"/>
        <v>38.5</v>
      </c>
      <c r="K908" t="s">
        <v>738</v>
      </c>
      <c r="L908" t="s">
        <v>463</v>
      </c>
      <c r="M908" t="s">
        <v>707</v>
      </c>
      <c r="R908" t="s">
        <v>408</v>
      </c>
      <c r="S908" t="s">
        <v>701</v>
      </c>
      <c r="T908" t="s">
        <v>695</v>
      </c>
      <c r="U908" t="s">
        <v>609</v>
      </c>
      <c r="V908" s="1" t="s">
        <v>774</v>
      </c>
      <c r="W908" s="1">
        <f>'[114]Yang&amp;Grantz_1996_Fig7'!D9</f>
        <v>7.0663911070891223E-9</v>
      </c>
      <c r="X908" s="1"/>
      <c r="Y908" s="1"/>
      <c r="Z908" s="1"/>
      <c r="AA908" s="1"/>
      <c r="AC908" s="1"/>
      <c r="AF908" s="2"/>
      <c r="AG908" s="2"/>
      <c r="AI908" s="5">
        <f>'[114]Yang&amp;Grantz_1996_Fig7'!C9</f>
        <v>0.1190892908447397</v>
      </c>
      <c r="AK908" t="s">
        <v>44</v>
      </c>
    </row>
    <row r="909" spans="1:37" hidden="1" x14ac:dyDescent="0.25">
      <c r="A909" t="s">
        <v>185</v>
      </c>
      <c r="B909" t="s">
        <v>202</v>
      </c>
      <c r="C909" t="s">
        <v>186</v>
      </c>
      <c r="D909" t="s">
        <v>187</v>
      </c>
      <c r="E909" t="s">
        <v>17</v>
      </c>
      <c r="F909" t="s">
        <v>613</v>
      </c>
      <c r="G909" t="s">
        <v>613</v>
      </c>
      <c r="H909" t="s">
        <v>613</v>
      </c>
      <c r="I909" t="s">
        <v>804</v>
      </c>
      <c r="J909">
        <f t="shared" si="127"/>
        <v>38.5</v>
      </c>
      <c r="K909" t="s">
        <v>738</v>
      </c>
      <c r="L909" t="s">
        <v>463</v>
      </c>
      <c r="M909" t="s">
        <v>707</v>
      </c>
      <c r="R909" t="s">
        <v>409</v>
      </c>
      <c r="S909" t="s">
        <v>701</v>
      </c>
      <c r="T909" t="s">
        <v>695</v>
      </c>
      <c r="U909" t="s">
        <v>609</v>
      </c>
      <c r="V909" s="1" t="s">
        <v>774</v>
      </c>
      <c r="W909" s="1">
        <f>'[114]Yang&amp;Grantz_1996_Fig7'!D10</f>
        <v>1.54333314763407E-8</v>
      </c>
      <c r="X909" s="1"/>
      <c r="Y909" s="1"/>
      <c r="Z909" s="1"/>
      <c r="AA909" s="1"/>
      <c r="AC909" s="1"/>
      <c r="AF909" s="2"/>
      <c r="AG909" s="2"/>
      <c r="AI909" s="5">
        <f>'[114]Yang&amp;Grantz_1996_Fig7'!C10</f>
        <v>0.202214005030185</v>
      </c>
      <c r="AK909" t="s">
        <v>44</v>
      </c>
    </row>
    <row r="910" spans="1:37" hidden="1" x14ac:dyDescent="0.25">
      <c r="A910" t="s">
        <v>185</v>
      </c>
      <c r="B910" t="s">
        <v>202</v>
      </c>
      <c r="C910" t="s">
        <v>186</v>
      </c>
      <c r="D910" t="s">
        <v>187</v>
      </c>
      <c r="E910" t="s">
        <v>17</v>
      </c>
      <c r="F910" t="s">
        <v>613</v>
      </c>
      <c r="G910" t="s">
        <v>613</v>
      </c>
      <c r="H910" t="s">
        <v>613</v>
      </c>
      <c r="I910" t="s">
        <v>804</v>
      </c>
      <c r="J910">
        <f t="shared" si="127"/>
        <v>38.5</v>
      </c>
      <c r="K910" t="s">
        <v>738</v>
      </c>
      <c r="L910" t="s">
        <v>462</v>
      </c>
      <c r="M910" t="s">
        <v>707</v>
      </c>
      <c r="R910" t="s">
        <v>407</v>
      </c>
      <c r="S910" t="s">
        <v>701</v>
      </c>
      <c r="T910" t="s">
        <v>695</v>
      </c>
      <c r="U910" t="s">
        <v>609</v>
      </c>
      <c r="V910" s="1" t="s">
        <v>774</v>
      </c>
      <c r="W910" s="1">
        <f>'[114]Yang&amp;Grantz_1996_Fig7'!D19</f>
        <v>4.2634080523726196E-9</v>
      </c>
      <c r="X910" s="1"/>
      <c r="Y910" s="1"/>
      <c r="Z910" s="1"/>
      <c r="AA910" s="1"/>
      <c r="AC910" s="1"/>
      <c r="AF910" s="2"/>
      <c r="AG910" s="2"/>
      <c r="AI910" s="5">
        <f>'[114]Yang&amp;Grantz_1996_Fig7'!C19</f>
        <v>7.7928550852835093E-2</v>
      </c>
      <c r="AK910" t="s">
        <v>199</v>
      </c>
    </row>
    <row r="911" spans="1:37" hidden="1" x14ac:dyDescent="0.25">
      <c r="A911" t="s">
        <v>185</v>
      </c>
      <c r="B911" t="s">
        <v>202</v>
      </c>
      <c r="C911" t="s">
        <v>186</v>
      </c>
      <c r="D911" t="s">
        <v>187</v>
      </c>
      <c r="E911" t="s">
        <v>17</v>
      </c>
      <c r="F911" t="s">
        <v>613</v>
      </c>
      <c r="G911" t="s">
        <v>613</v>
      </c>
      <c r="H911" t="s">
        <v>613</v>
      </c>
      <c r="I911" t="s">
        <v>804</v>
      </c>
      <c r="J911">
        <f t="shared" si="127"/>
        <v>38.5</v>
      </c>
      <c r="K911" t="s">
        <v>738</v>
      </c>
      <c r="L911" t="s">
        <v>462</v>
      </c>
      <c r="M911" t="s">
        <v>707</v>
      </c>
      <c r="R911" t="s">
        <v>408</v>
      </c>
      <c r="S911" t="s">
        <v>701</v>
      </c>
      <c r="T911" t="s">
        <v>695</v>
      </c>
      <c r="U911" t="s">
        <v>609</v>
      </c>
      <c r="V911" s="1" t="s">
        <v>774</v>
      </c>
      <c r="W911" s="1">
        <f>'[114]Yang&amp;Grantz_1996_Fig7'!D20</f>
        <v>6.8037203342866557E-9</v>
      </c>
      <c r="X911" s="1"/>
      <c r="Y911" s="1"/>
      <c r="Z911" s="1"/>
      <c r="AA911" s="1"/>
      <c r="AC911" s="1"/>
      <c r="AF911" s="2"/>
      <c r="AG911" s="2"/>
      <c r="AI911" s="5">
        <f>'[114]Yang&amp;Grantz_1996_Fig7'!C20</f>
        <v>0.11593217618815889</v>
      </c>
      <c r="AK911" t="s">
        <v>199</v>
      </c>
    </row>
    <row r="912" spans="1:37" hidden="1" x14ac:dyDescent="0.25">
      <c r="A912" t="s">
        <v>185</v>
      </c>
      <c r="B912" t="s">
        <v>202</v>
      </c>
      <c r="C912" t="s">
        <v>186</v>
      </c>
      <c r="D912" t="s">
        <v>187</v>
      </c>
      <c r="E912" t="s">
        <v>17</v>
      </c>
      <c r="F912" t="s">
        <v>613</v>
      </c>
      <c r="G912" t="s">
        <v>613</v>
      </c>
      <c r="H912" t="s">
        <v>613</v>
      </c>
      <c r="I912" t="s">
        <v>804</v>
      </c>
      <c r="J912">
        <f t="shared" si="127"/>
        <v>38.5</v>
      </c>
      <c r="K912" t="s">
        <v>738</v>
      </c>
      <c r="L912" t="s">
        <v>462</v>
      </c>
      <c r="M912" t="s">
        <v>707</v>
      </c>
      <c r="R912" t="s">
        <v>409</v>
      </c>
      <c r="S912" t="s">
        <v>701</v>
      </c>
      <c r="T912" t="s">
        <v>695</v>
      </c>
      <c r="U912" t="s">
        <v>609</v>
      </c>
      <c r="V912" s="1" t="s">
        <v>774</v>
      </c>
      <c r="W912" s="1">
        <f>'[114]Yang&amp;Grantz_1996_Fig7'!D21</f>
        <v>9.2215781628546201E-9</v>
      </c>
      <c r="X912" s="1"/>
      <c r="Y912" s="1"/>
      <c r="Z912" s="1"/>
      <c r="AA912" s="1"/>
      <c r="AC912" s="1"/>
      <c r="AF912" s="2"/>
      <c r="AG912" s="2"/>
      <c r="AI912" s="5">
        <f>'[114]Yang&amp;Grantz_1996_Fig7'!C21</f>
        <v>0.15123446410591901</v>
      </c>
      <c r="AK912" t="s">
        <v>199</v>
      </c>
    </row>
    <row r="913" spans="1:37" hidden="1" x14ac:dyDescent="0.25">
      <c r="A913" t="s">
        <v>185</v>
      </c>
      <c r="B913" t="s">
        <v>202</v>
      </c>
      <c r="C913" t="s">
        <v>186</v>
      </c>
      <c r="D913" t="s">
        <v>187</v>
      </c>
      <c r="E913" t="s">
        <v>17</v>
      </c>
      <c r="F913" t="s">
        <v>613</v>
      </c>
      <c r="G913" t="s">
        <v>613</v>
      </c>
      <c r="H913" t="s">
        <v>613</v>
      </c>
      <c r="I913" t="s">
        <v>804</v>
      </c>
      <c r="J913">
        <f t="shared" si="127"/>
        <v>38.5</v>
      </c>
      <c r="K913" t="s">
        <v>738</v>
      </c>
      <c r="L913" t="s">
        <v>462</v>
      </c>
      <c r="M913" t="s">
        <v>707</v>
      </c>
      <c r="R913" t="s">
        <v>407</v>
      </c>
      <c r="S913" t="s">
        <v>701</v>
      </c>
      <c r="T913" t="s">
        <v>695</v>
      </c>
      <c r="U913" t="s">
        <v>609</v>
      </c>
      <c r="V913" s="1" t="s">
        <v>774</v>
      </c>
      <c r="W913" s="1">
        <f>'[114]Yang&amp;Grantz_1996_Fig7'!D31</f>
        <v>5.0874484967645304E-9</v>
      </c>
      <c r="X913" s="1"/>
      <c r="Y913" s="1"/>
      <c r="Z913" s="1"/>
      <c r="AA913" s="1"/>
      <c r="AC913" s="1"/>
      <c r="AF913" s="2"/>
      <c r="AG913" s="2"/>
      <c r="AI913" s="5">
        <f>'[114]Yang&amp;Grantz_1996_Fig7'!C31</f>
        <v>7.7544272287647195E-2</v>
      </c>
      <c r="AK913" t="s">
        <v>44</v>
      </c>
    </row>
    <row r="914" spans="1:37" hidden="1" x14ac:dyDescent="0.25">
      <c r="A914" t="s">
        <v>185</v>
      </c>
      <c r="B914" t="s">
        <v>202</v>
      </c>
      <c r="C914" t="s">
        <v>186</v>
      </c>
      <c r="D914" t="s">
        <v>187</v>
      </c>
      <c r="E914" t="s">
        <v>17</v>
      </c>
      <c r="F914" t="s">
        <v>613</v>
      </c>
      <c r="G914" t="s">
        <v>613</v>
      </c>
      <c r="H914" t="s">
        <v>613</v>
      </c>
      <c r="I914" t="s">
        <v>804</v>
      </c>
      <c r="J914">
        <f t="shared" si="127"/>
        <v>38.5</v>
      </c>
      <c r="K914" t="s">
        <v>738</v>
      </c>
      <c r="L914" t="s">
        <v>462</v>
      </c>
      <c r="M914" t="s">
        <v>707</v>
      </c>
      <c r="R914" t="s">
        <v>408</v>
      </c>
      <c r="S914" t="s">
        <v>701</v>
      </c>
      <c r="T914" t="s">
        <v>695</v>
      </c>
      <c r="U914" t="s">
        <v>609</v>
      </c>
      <c r="V914" s="1" t="s">
        <v>774</v>
      </c>
      <c r="W914" s="1">
        <f>'[114]Yang&amp;Grantz_1996_Fig7'!D32</f>
        <v>9.6078854546604429E-9</v>
      </c>
      <c r="X914" s="1"/>
      <c r="Y914" s="1"/>
      <c r="Z914" s="1"/>
      <c r="AA914" s="1"/>
      <c r="AC914" s="1"/>
      <c r="AF914" s="2"/>
      <c r="AG914" s="2"/>
      <c r="AI914" s="5">
        <f>'[114]Yang&amp;Grantz_1996_Fig7'!C32</f>
        <v>0.11905980353924644</v>
      </c>
      <c r="AK914" t="s">
        <v>44</v>
      </c>
    </row>
    <row r="915" spans="1:37" hidden="1" x14ac:dyDescent="0.25">
      <c r="A915" t="s">
        <v>185</v>
      </c>
      <c r="B915" t="s">
        <v>202</v>
      </c>
      <c r="C915" t="s">
        <v>186</v>
      </c>
      <c r="D915" t="s">
        <v>187</v>
      </c>
      <c r="E915" t="s">
        <v>17</v>
      </c>
      <c r="F915" t="s">
        <v>613</v>
      </c>
      <c r="G915" t="s">
        <v>613</v>
      </c>
      <c r="H915" t="s">
        <v>613</v>
      </c>
      <c r="I915" t="s">
        <v>804</v>
      </c>
      <c r="J915">
        <f t="shared" si="127"/>
        <v>38.5</v>
      </c>
      <c r="K915" t="s">
        <v>738</v>
      </c>
      <c r="L915" t="s">
        <v>462</v>
      </c>
      <c r="M915" t="s">
        <v>707</v>
      </c>
      <c r="R915" t="s">
        <v>409</v>
      </c>
      <c r="S915" t="s">
        <v>701</v>
      </c>
      <c r="T915" t="s">
        <v>695</v>
      </c>
      <c r="U915" t="s">
        <v>609</v>
      </c>
      <c r="V915" s="1" t="s">
        <v>774</v>
      </c>
      <c r="W915" s="1">
        <f>'[114]Yang&amp;Grantz_1996_Fig7'!D33</f>
        <v>1.1611946531296399E-8</v>
      </c>
      <c r="X915" s="1"/>
      <c r="Y915" s="1"/>
      <c r="Z915" s="1"/>
      <c r="AA915" s="1"/>
      <c r="AC915" s="1"/>
      <c r="AF915" s="2"/>
      <c r="AG915" s="2"/>
      <c r="AI915" s="5">
        <f>'[114]Yang&amp;Grantz_1996_Fig7'!C33</f>
        <v>0.15287985575244201</v>
      </c>
      <c r="AK915" t="s">
        <v>44</v>
      </c>
    </row>
    <row r="916" spans="1:37" hidden="1" x14ac:dyDescent="0.25">
      <c r="A916" t="s">
        <v>331</v>
      </c>
      <c r="B916" t="s">
        <v>294</v>
      </c>
      <c r="C916" t="s">
        <v>139</v>
      </c>
      <c r="D916" t="s">
        <v>140</v>
      </c>
      <c r="E916" t="s">
        <v>17</v>
      </c>
      <c r="F916" t="s">
        <v>69</v>
      </c>
      <c r="G916" t="s">
        <v>616</v>
      </c>
      <c r="H916" t="s">
        <v>760</v>
      </c>
      <c r="I916" t="s">
        <v>705</v>
      </c>
      <c r="J916">
        <f>+AVERAGE(2.5,4.2)*30</f>
        <v>100.5</v>
      </c>
      <c r="K916" t="s">
        <v>590</v>
      </c>
      <c r="L916" t="s">
        <v>381</v>
      </c>
      <c r="M916" t="str">
        <f t="shared" ref="M916:M935" si="128">+IF(L916 = "Control", "Control", "Stress")</f>
        <v>Stress</v>
      </c>
      <c r="R916" t="s">
        <v>408</v>
      </c>
      <c r="S916" t="s">
        <v>701</v>
      </c>
      <c r="T916" t="s">
        <v>695</v>
      </c>
      <c r="U916" t="s">
        <v>609</v>
      </c>
      <c r="V916" s="1" t="s">
        <v>774</v>
      </c>
      <c r="W916" s="1">
        <v>8.6000000000000003E-10</v>
      </c>
      <c r="X916" s="1">
        <v>8.6000000000000003E-10</v>
      </c>
      <c r="Y916" s="2"/>
      <c r="Z916" s="2"/>
      <c r="AA916" s="1"/>
      <c r="AB916" s="1">
        <v>3.1E-8</v>
      </c>
      <c r="AD916">
        <v>372.4</v>
      </c>
      <c r="AF916" s="2"/>
      <c r="AG916" s="2">
        <v>7.1</v>
      </c>
      <c r="AK916" t="s">
        <v>198</v>
      </c>
    </row>
    <row r="917" spans="1:37" hidden="1" x14ac:dyDescent="0.25">
      <c r="A917" t="s">
        <v>331</v>
      </c>
      <c r="B917" t="s">
        <v>294</v>
      </c>
      <c r="C917" t="s">
        <v>139</v>
      </c>
      <c r="D917" t="s">
        <v>140</v>
      </c>
      <c r="E917" t="s">
        <v>17</v>
      </c>
      <c r="F917" t="s">
        <v>69</v>
      </c>
      <c r="G917" t="s">
        <v>616</v>
      </c>
      <c r="H917" t="s">
        <v>760</v>
      </c>
      <c r="I917" t="s">
        <v>705</v>
      </c>
      <c r="J917">
        <f>+AVERAGE(2.5,4.2)*30</f>
        <v>100.5</v>
      </c>
      <c r="K917" t="s">
        <v>590</v>
      </c>
      <c r="L917" t="s">
        <v>36</v>
      </c>
      <c r="M917" t="str">
        <f t="shared" si="128"/>
        <v>Control</v>
      </c>
      <c r="R917" t="s">
        <v>408</v>
      </c>
      <c r="S917" t="s">
        <v>701</v>
      </c>
      <c r="T917" t="s">
        <v>695</v>
      </c>
      <c r="U917" t="s">
        <v>609</v>
      </c>
      <c r="V917" s="1" t="s">
        <v>774</v>
      </c>
      <c r="W917" s="1">
        <v>1.0800000000000002E-9</v>
      </c>
      <c r="X917" s="1">
        <v>1.0800000000000002E-9</v>
      </c>
      <c r="Y917" s="2"/>
      <c r="Z917" s="2"/>
      <c r="AA917" s="1"/>
      <c r="AB917" s="1">
        <v>2.4999999999999999E-8</v>
      </c>
      <c r="AD917">
        <v>461.8</v>
      </c>
      <c r="AF917" s="2"/>
      <c r="AG917" s="2">
        <v>13.9</v>
      </c>
      <c r="AK917" t="s">
        <v>198</v>
      </c>
    </row>
    <row r="918" spans="1:37" hidden="1" x14ac:dyDescent="0.25">
      <c r="A918" t="s">
        <v>331</v>
      </c>
      <c r="B918" t="s">
        <v>294</v>
      </c>
      <c r="C918" t="s">
        <v>139</v>
      </c>
      <c r="D918" t="s">
        <v>140</v>
      </c>
      <c r="E918" t="s">
        <v>17</v>
      </c>
      <c r="F918" t="s">
        <v>69</v>
      </c>
      <c r="G918" t="s">
        <v>616</v>
      </c>
      <c r="H918" t="s">
        <v>760</v>
      </c>
      <c r="I918" t="s">
        <v>705</v>
      </c>
      <c r="J918">
        <f>+AVERAGE(5.3,7.9)*30</f>
        <v>198</v>
      </c>
      <c r="K918" t="s">
        <v>590</v>
      </c>
      <c r="L918" t="s">
        <v>381</v>
      </c>
      <c r="M918" t="str">
        <f t="shared" si="128"/>
        <v>Stress</v>
      </c>
      <c r="R918" t="s">
        <v>408</v>
      </c>
      <c r="S918" t="s">
        <v>701</v>
      </c>
      <c r="T918" t="s">
        <v>695</v>
      </c>
      <c r="U918" t="s">
        <v>609</v>
      </c>
      <c r="V918" s="1" t="s">
        <v>774</v>
      </c>
      <c r="W918" s="1">
        <v>8.9999999999999999E-10</v>
      </c>
      <c r="X918" s="1">
        <v>8.9999999999999999E-10</v>
      </c>
      <c r="Y918" s="2"/>
      <c r="Z918" s="2"/>
      <c r="AA918" s="1"/>
      <c r="AB918" s="1">
        <v>1.5000000000000002E-8</v>
      </c>
      <c r="AD918">
        <v>718.3</v>
      </c>
      <c r="AF918" s="2"/>
      <c r="AG918" s="2">
        <v>20.7</v>
      </c>
      <c r="AK918" t="s">
        <v>198</v>
      </c>
    </row>
    <row r="919" spans="1:37" hidden="1" x14ac:dyDescent="0.25">
      <c r="A919" t="s">
        <v>331</v>
      </c>
      <c r="B919" t="s">
        <v>294</v>
      </c>
      <c r="C919" t="s">
        <v>139</v>
      </c>
      <c r="D919" t="s">
        <v>140</v>
      </c>
      <c r="E919" t="s">
        <v>17</v>
      </c>
      <c r="F919" t="s">
        <v>69</v>
      </c>
      <c r="G919" t="s">
        <v>616</v>
      </c>
      <c r="H919" t="s">
        <v>760</v>
      </c>
      <c r="I919" t="s">
        <v>705</v>
      </c>
      <c r="J919">
        <f>+AVERAGE(5.3,7.9)*30</f>
        <v>198</v>
      </c>
      <c r="K919" t="s">
        <v>590</v>
      </c>
      <c r="L919" t="s">
        <v>36</v>
      </c>
      <c r="M919" t="str">
        <f t="shared" si="128"/>
        <v>Control</v>
      </c>
      <c r="R919" t="s">
        <v>408</v>
      </c>
      <c r="S919" t="s">
        <v>701</v>
      </c>
      <c r="T919" t="s">
        <v>695</v>
      </c>
      <c r="U919" t="s">
        <v>609</v>
      </c>
      <c r="V919" s="1" t="s">
        <v>774</v>
      </c>
      <c r="W919" s="1">
        <v>1.4599999999999999E-9</v>
      </c>
      <c r="X919" s="1">
        <v>1.4599999999999999E-9</v>
      </c>
      <c r="Y919" s="2"/>
      <c r="Z919" s="2"/>
      <c r="AA919" s="1"/>
      <c r="AB919" s="1">
        <v>7.7000000000000011E-9</v>
      </c>
      <c r="AD919">
        <v>2485.6999999999998</v>
      </c>
      <c r="AF919" s="2"/>
      <c r="AG919" s="2">
        <v>60.7</v>
      </c>
      <c r="AK919" t="s">
        <v>198</v>
      </c>
    </row>
    <row r="920" spans="1:37" hidden="1" x14ac:dyDescent="0.25">
      <c r="A920" t="s">
        <v>331</v>
      </c>
      <c r="B920" t="s">
        <v>357</v>
      </c>
      <c r="C920" t="s">
        <v>139</v>
      </c>
      <c r="D920" t="s">
        <v>140</v>
      </c>
      <c r="E920" t="s">
        <v>17</v>
      </c>
      <c r="F920" t="s">
        <v>69</v>
      </c>
      <c r="G920" t="s">
        <v>616</v>
      </c>
      <c r="H920" t="s">
        <v>760</v>
      </c>
      <c r="I920" t="s">
        <v>705</v>
      </c>
      <c r="J920">
        <f>+AVERAGE(2.9,4.3)*30</f>
        <v>107.99999999999999</v>
      </c>
      <c r="K920" t="s">
        <v>590</v>
      </c>
      <c r="L920" t="s">
        <v>381</v>
      </c>
      <c r="M920" t="str">
        <f t="shared" si="128"/>
        <v>Stress</v>
      </c>
      <c r="R920" t="s">
        <v>408</v>
      </c>
      <c r="S920" t="s">
        <v>701</v>
      </c>
      <c r="T920" t="s">
        <v>695</v>
      </c>
      <c r="U920" t="s">
        <v>609</v>
      </c>
      <c r="V920" s="1" t="s">
        <v>774</v>
      </c>
      <c r="W920" s="1">
        <v>1E-10</v>
      </c>
      <c r="X920" s="1">
        <v>1E-10</v>
      </c>
      <c r="Y920" s="2"/>
      <c r="Z920" s="2"/>
      <c r="AA920" s="1"/>
      <c r="AB920" s="1">
        <v>5.7999999999999998E-9</v>
      </c>
      <c r="AD920">
        <v>222.3</v>
      </c>
      <c r="AF920" s="2"/>
      <c r="AG920" s="2">
        <v>4</v>
      </c>
      <c r="AK920" t="s">
        <v>198</v>
      </c>
    </row>
    <row r="921" spans="1:37" hidden="1" x14ac:dyDescent="0.25">
      <c r="A921" t="s">
        <v>331</v>
      </c>
      <c r="B921" t="s">
        <v>357</v>
      </c>
      <c r="C921" t="s">
        <v>139</v>
      </c>
      <c r="D921" t="s">
        <v>140</v>
      </c>
      <c r="E921" t="s">
        <v>17</v>
      </c>
      <c r="F921" t="s">
        <v>69</v>
      </c>
      <c r="G921" t="s">
        <v>616</v>
      </c>
      <c r="H921" t="s">
        <v>760</v>
      </c>
      <c r="I921" t="s">
        <v>705</v>
      </c>
      <c r="J921">
        <f>+AVERAGE(2.9,4.3)*30</f>
        <v>107.99999999999999</v>
      </c>
      <c r="K921" t="s">
        <v>590</v>
      </c>
      <c r="L921" t="s">
        <v>36</v>
      </c>
      <c r="M921" t="str">
        <f t="shared" si="128"/>
        <v>Control</v>
      </c>
      <c r="R921" t="s">
        <v>408</v>
      </c>
      <c r="S921" t="s">
        <v>701</v>
      </c>
      <c r="T921" t="s">
        <v>695</v>
      </c>
      <c r="U921" t="s">
        <v>609</v>
      </c>
      <c r="V921" s="1" t="s">
        <v>774</v>
      </c>
      <c r="W921" s="1">
        <v>3.1000000000000002E-10</v>
      </c>
      <c r="X921" s="1">
        <v>3.1000000000000002E-10</v>
      </c>
      <c r="Y921" s="2"/>
      <c r="Z921" s="2"/>
      <c r="AA921" s="1"/>
      <c r="AB921" s="1">
        <v>6E-9</v>
      </c>
      <c r="AD921">
        <v>609.9</v>
      </c>
      <c r="AF921" s="2"/>
      <c r="AG921" s="2">
        <v>11.7</v>
      </c>
      <c r="AK921" t="s">
        <v>198</v>
      </c>
    </row>
    <row r="922" spans="1:37" hidden="1" x14ac:dyDescent="0.25">
      <c r="A922" t="s">
        <v>331</v>
      </c>
      <c r="B922" t="s">
        <v>357</v>
      </c>
      <c r="C922" t="s">
        <v>139</v>
      </c>
      <c r="D922" t="s">
        <v>140</v>
      </c>
      <c r="E922" t="s">
        <v>17</v>
      </c>
      <c r="F922" t="s">
        <v>69</v>
      </c>
      <c r="G922" t="s">
        <v>616</v>
      </c>
      <c r="H922" t="s">
        <v>760</v>
      </c>
      <c r="I922" t="s">
        <v>705</v>
      </c>
      <c r="J922">
        <f>+AVERAGE(4.7,5.5)*30</f>
        <v>153</v>
      </c>
      <c r="K922" t="s">
        <v>590</v>
      </c>
      <c r="L922" t="s">
        <v>381</v>
      </c>
      <c r="M922" t="str">
        <f t="shared" si="128"/>
        <v>Stress</v>
      </c>
      <c r="R922" t="s">
        <v>408</v>
      </c>
      <c r="S922" t="s">
        <v>701</v>
      </c>
      <c r="T922" t="s">
        <v>695</v>
      </c>
      <c r="U922" t="s">
        <v>609</v>
      </c>
      <c r="V922" s="1" t="s">
        <v>774</v>
      </c>
      <c r="W922" s="1">
        <v>2.5000000000000002E-10</v>
      </c>
      <c r="X922" s="1">
        <v>2.5000000000000002E-10</v>
      </c>
      <c r="Y922" s="2"/>
      <c r="Z922" s="2"/>
      <c r="AA922" s="1"/>
      <c r="AB922" s="1">
        <v>4.8E-9</v>
      </c>
      <c r="AD922">
        <v>509.7</v>
      </c>
      <c r="AF922" s="2"/>
      <c r="AG922" s="2">
        <v>8</v>
      </c>
      <c r="AK922" t="s">
        <v>198</v>
      </c>
    </row>
    <row r="923" spans="1:37" hidden="1" x14ac:dyDescent="0.25">
      <c r="A923" t="s">
        <v>331</v>
      </c>
      <c r="B923" t="s">
        <v>357</v>
      </c>
      <c r="C923" t="s">
        <v>139</v>
      </c>
      <c r="D923" t="s">
        <v>140</v>
      </c>
      <c r="E923" t="s">
        <v>17</v>
      </c>
      <c r="F923" t="s">
        <v>69</v>
      </c>
      <c r="G923" t="s">
        <v>616</v>
      </c>
      <c r="H923" t="s">
        <v>760</v>
      </c>
      <c r="I923" t="s">
        <v>705</v>
      </c>
      <c r="J923">
        <f>+AVERAGE(4.7,5.5)*30</f>
        <v>153</v>
      </c>
      <c r="K923" t="s">
        <v>590</v>
      </c>
      <c r="L923" t="s">
        <v>36</v>
      </c>
      <c r="M923" t="str">
        <f t="shared" si="128"/>
        <v>Control</v>
      </c>
      <c r="R923" t="s">
        <v>408</v>
      </c>
      <c r="S923" t="s">
        <v>701</v>
      </c>
      <c r="T923" t="s">
        <v>695</v>
      </c>
      <c r="U923" t="s">
        <v>609</v>
      </c>
      <c r="V923" s="1" t="s">
        <v>774</v>
      </c>
      <c r="W923" s="1">
        <v>4.9000000000000007E-10</v>
      </c>
      <c r="X923" s="1">
        <v>4.9000000000000007E-10</v>
      </c>
      <c r="Y923" s="2"/>
      <c r="Z923" s="2"/>
      <c r="AA923" s="1"/>
      <c r="AB923" s="1">
        <v>6.9999999999999998E-9</v>
      </c>
      <c r="AD923">
        <v>664.9</v>
      </c>
      <c r="AF923" s="2"/>
      <c r="AG923" s="2">
        <v>15.1</v>
      </c>
      <c r="AK923" t="s">
        <v>198</v>
      </c>
    </row>
    <row r="924" spans="1:37" hidden="1" x14ac:dyDescent="0.25">
      <c r="A924" t="s">
        <v>331</v>
      </c>
      <c r="B924" t="s">
        <v>294</v>
      </c>
      <c r="C924" t="s">
        <v>139</v>
      </c>
      <c r="D924" t="s">
        <v>140</v>
      </c>
      <c r="E924" t="s">
        <v>17</v>
      </c>
      <c r="F924" t="s">
        <v>69</v>
      </c>
      <c r="G924" t="s">
        <v>616</v>
      </c>
      <c r="H924" t="s">
        <v>760</v>
      </c>
      <c r="I924" t="s">
        <v>705</v>
      </c>
      <c r="J924">
        <f>+AVERAGE(2.5,4.2)*30</f>
        <v>100.5</v>
      </c>
      <c r="K924" t="s">
        <v>590</v>
      </c>
      <c r="L924" t="s">
        <v>381</v>
      </c>
      <c r="M924" t="str">
        <f t="shared" si="128"/>
        <v>Stress</v>
      </c>
      <c r="R924" t="s">
        <v>408</v>
      </c>
      <c r="S924" t="s">
        <v>701</v>
      </c>
      <c r="T924" t="s">
        <v>695</v>
      </c>
      <c r="U924" t="s">
        <v>610</v>
      </c>
      <c r="V924" s="1" t="s">
        <v>774</v>
      </c>
      <c r="W924" s="1">
        <v>1.4000000000000002E-11</v>
      </c>
      <c r="X924" s="1">
        <v>1.4000000000000002E-11</v>
      </c>
      <c r="Y924" s="2"/>
      <c r="Z924" s="2"/>
      <c r="AA924" s="1"/>
      <c r="AB924" s="1">
        <v>2.7E-10</v>
      </c>
      <c r="AD924">
        <v>372.4</v>
      </c>
      <c r="AF924" s="2"/>
      <c r="AG924" s="2">
        <v>7.1</v>
      </c>
      <c r="AK924" t="s">
        <v>198</v>
      </c>
    </row>
    <row r="925" spans="1:37" hidden="1" x14ac:dyDescent="0.25">
      <c r="A925" t="s">
        <v>331</v>
      </c>
      <c r="B925" t="s">
        <v>294</v>
      </c>
      <c r="C925" t="s">
        <v>139</v>
      </c>
      <c r="D925" t="s">
        <v>140</v>
      </c>
      <c r="E925" t="s">
        <v>17</v>
      </c>
      <c r="F925" t="s">
        <v>69</v>
      </c>
      <c r="G925" t="s">
        <v>616</v>
      </c>
      <c r="H925" t="s">
        <v>760</v>
      </c>
      <c r="I925" t="s">
        <v>705</v>
      </c>
      <c r="J925">
        <f>+AVERAGE(2.5,4.2)*30</f>
        <v>100.5</v>
      </c>
      <c r="K925" t="s">
        <v>590</v>
      </c>
      <c r="L925" t="s">
        <v>36</v>
      </c>
      <c r="M925" t="str">
        <f t="shared" si="128"/>
        <v>Control</v>
      </c>
      <c r="R925" t="s">
        <v>408</v>
      </c>
      <c r="S925" t="s">
        <v>701</v>
      </c>
      <c r="T925" t="s">
        <v>695</v>
      </c>
      <c r="U925" t="s">
        <v>610</v>
      </c>
      <c r="V925" s="1" t="s">
        <v>774</v>
      </c>
      <c r="W925" s="1">
        <v>2.9E-11</v>
      </c>
      <c r="X925" s="1">
        <v>2.9E-11</v>
      </c>
      <c r="Y925" s="2"/>
      <c r="Z925" s="2"/>
      <c r="AA925" s="1"/>
      <c r="AB925" s="1">
        <v>4.8E-10</v>
      </c>
      <c r="AD925">
        <v>461.8</v>
      </c>
      <c r="AF925" s="2"/>
      <c r="AG925" s="2">
        <v>13.9</v>
      </c>
      <c r="AK925" t="s">
        <v>198</v>
      </c>
    </row>
    <row r="926" spans="1:37" hidden="1" x14ac:dyDescent="0.25">
      <c r="A926" t="s">
        <v>331</v>
      </c>
      <c r="B926" t="s">
        <v>294</v>
      </c>
      <c r="C926" t="s">
        <v>139</v>
      </c>
      <c r="D926" t="s">
        <v>140</v>
      </c>
      <c r="E926" t="s">
        <v>17</v>
      </c>
      <c r="F926" t="s">
        <v>69</v>
      </c>
      <c r="G926" t="s">
        <v>616</v>
      </c>
      <c r="H926" t="s">
        <v>760</v>
      </c>
      <c r="I926" t="s">
        <v>705</v>
      </c>
      <c r="J926">
        <f>+AVERAGE(5.3,7.9)*30</f>
        <v>198</v>
      </c>
      <c r="K926" t="s">
        <v>590</v>
      </c>
      <c r="L926" t="s">
        <v>381</v>
      </c>
      <c r="M926" t="str">
        <f t="shared" si="128"/>
        <v>Stress</v>
      </c>
      <c r="R926" t="s">
        <v>408</v>
      </c>
      <c r="S926" t="s">
        <v>701</v>
      </c>
      <c r="T926" t="s">
        <v>695</v>
      </c>
      <c r="U926" t="s">
        <v>610</v>
      </c>
      <c r="V926" s="1" t="s">
        <v>774</v>
      </c>
      <c r="W926" s="1">
        <v>1.9E-12</v>
      </c>
      <c r="X926" s="1">
        <v>1.8E-12</v>
      </c>
      <c r="Y926" s="2"/>
      <c r="Z926" s="2"/>
      <c r="AA926" s="1"/>
      <c r="AB926" s="1">
        <v>3.5000000000000002E-11</v>
      </c>
      <c r="AD926">
        <v>718.3</v>
      </c>
      <c r="AF926" s="2"/>
      <c r="AG926" s="2">
        <v>20.7</v>
      </c>
      <c r="AK926" t="s">
        <v>198</v>
      </c>
    </row>
    <row r="927" spans="1:37" hidden="1" x14ac:dyDescent="0.25">
      <c r="A927" t="s">
        <v>331</v>
      </c>
      <c r="B927" t="s">
        <v>294</v>
      </c>
      <c r="C927" t="s">
        <v>139</v>
      </c>
      <c r="D927" t="s">
        <v>140</v>
      </c>
      <c r="E927" t="s">
        <v>17</v>
      </c>
      <c r="F927" t="s">
        <v>69</v>
      </c>
      <c r="G927" t="s">
        <v>616</v>
      </c>
      <c r="H927" t="s">
        <v>760</v>
      </c>
      <c r="I927" t="s">
        <v>705</v>
      </c>
      <c r="J927">
        <f>+AVERAGE(5.3,7.9)*30</f>
        <v>198</v>
      </c>
      <c r="K927" t="s">
        <v>590</v>
      </c>
      <c r="L927" t="s">
        <v>36</v>
      </c>
      <c r="M927" t="str">
        <f t="shared" si="128"/>
        <v>Control</v>
      </c>
      <c r="R927" t="s">
        <v>408</v>
      </c>
      <c r="S927" t="s">
        <v>701</v>
      </c>
      <c r="T927" t="s">
        <v>695</v>
      </c>
      <c r="U927" t="s">
        <v>610</v>
      </c>
      <c r="V927" s="1" t="s">
        <v>774</v>
      </c>
      <c r="W927" s="1">
        <v>4.6000000000000003E-11</v>
      </c>
      <c r="X927" s="1">
        <v>4.6000000000000003E-11</v>
      </c>
      <c r="Y927" s="2"/>
      <c r="Z927" s="2"/>
      <c r="AA927" s="1"/>
      <c r="AB927" s="1">
        <v>2.5000000000000002E-10</v>
      </c>
      <c r="AD927">
        <v>2485.6999999999998</v>
      </c>
      <c r="AF927" s="2"/>
      <c r="AG927" s="2">
        <v>60.7</v>
      </c>
      <c r="AK927" t="s">
        <v>198</v>
      </c>
    </row>
    <row r="928" spans="1:37" hidden="1" x14ac:dyDescent="0.25">
      <c r="A928" t="s">
        <v>331</v>
      </c>
      <c r="B928" t="s">
        <v>357</v>
      </c>
      <c r="C928" t="s">
        <v>139</v>
      </c>
      <c r="D928" t="s">
        <v>140</v>
      </c>
      <c r="E928" t="s">
        <v>17</v>
      </c>
      <c r="F928" t="s">
        <v>69</v>
      </c>
      <c r="G928" t="s">
        <v>616</v>
      </c>
      <c r="H928" t="s">
        <v>760</v>
      </c>
      <c r="I928" t="s">
        <v>705</v>
      </c>
      <c r="J928">
        <f>+AVERAGE(2.9,4.3)*30</f>
        <v>107.99999999999999</v>
      </c>
      <c r="K928" t="s">
        <v>590</v>
      </c>
      <c r="L928" t="s">
        <v>381</v>
      </c>
      <c r="M928" t="str">
        <f t="shared" si="128"/>
        <v>Stress</v>
      </c>
      <c r="R928" t="s">
        <v>408</v>
      </c>
      <c r="S928" t="s">
        <v>701</v>
      </c>
      <c r="T928" t="s">
        <v>695</v>
      </c>
      <c r="U928" t="s">
        <v>610</v>
      </c>
      <c r="V928" s="1" t="s">
        <v>774</v>
      </c>
      <c r="W928" s="1">
        <v>2E-12</v>
      </c>
      <c r="X928" s="1">
        <v>2E-12</v>
      </c>
      <c r="Y928" s="2"/>
      <c r="Z928" s="2"/>
      <c r="AA928" s="1"/>
      <c r="AB928" s="1">
        <v>3.7000000000000001E-10</v>
      </c>
      <c r="AD928">
        <v>222.3</v>
      </c>
      <c r="AF928" s="2"/>
      <c r="AG928" s="2">
        <v>4</v>
      </c>
      <c r="AK928" t="s">
        <v>198</v>
      </c>
    </row>
    <row r="929" spans="1:37" hidden="1" x14ac:dyDescent="0.25">
      <c r="A929" t="s">
        <v>331</v>
      </c>
      <c r="B929" t="s">
        <v>357</v>
      </c>
      <c r="C929" t="s">
        <v>139</v>
      </c>
      <c r="D929" t="s">
        <v>140</v>
      </c>
      <c r="E929" t="s">
        <v>17</v>
      </c>
      <c r="F929" t="s">
        <v>69</v>
      </c>
      <c r="G929" t="s">
        <v>616</v>
      </c>
      <c r="H929" t="s">
        <v>760</v>
      </c>
      <c r="I929" t="s">
        <v>705</v>
      </c>
      <c r="J929">
        <f>+AVERAGE(2.9,4.3)*30</f>
        <v>107.99999999999999</v>
      </c>
      <c r="K929" t="s">
        <v>590</v>
      </c>
      <c r="L929" t="s">
        <v>36</v>
      </c>
      <c r="M929" t="str">
        <f t="shared" si="128"/>
        <v>Control</v>
      </c>
      <c r="R929" t="s">
        <v>408</v>
      </c>
      <c r="S929" t="s">
        <v>701</v>
      </c>
      <c r="T929" t="s">
        <v>695</v>
      </c>
      <c r="U929" t="s">
        <v>610</v>
      </c>
      <c r="V929" s="1"/>
      <c r="W929" s="1"/>
      <c r="X929" s="1"/>
      <c r="Y929" s="2"/>
      <c r="Z929" s="2"/>
      <c r="AA929" s="1"/>
      <c r="AD929">
        <v>609.9</v>
      </c>
      <c r="AF929" s="2"/>
      <c r="AG929" s="2">
        <v>11.7</v>
      </c>
      <c r="AK929" t="s">
        <v>198</v>
      </c>
    </row>
    <row r="930" spans="1:37" hidden="1" x14ac:dyDescent="0.25">
      <c r="A930" t="s">
        <v>331</v>
      </c>
      <c r="B930" t="s">
        <v>357</v>
      </c>
      <c r="C930" t="s">
        <v>139</v>
      </c>
      <c r="D930" t="s">
        <v>140</v>
      </c>
      <c r="E930" t="s">
        <v>17</v>
      </c>
      <c r="F930" t="s">
        <v>69</v>
      </c>
      <c r="G930" t="s">
        <v>616</v>
      </c>
      <c r="H930" t="s">
        <v>760</v>
      </c>
      <c r="I930" t="s">
        <v>705</v>
      </c>
      <c r="J930">
        <f>+AVERAGE(4.7,5.5)*30</f>
        <v>153</v>
      </c>
      <c r="K930" t="s">
        <v>590</v>
      </c>
      <c r="L930" t="s">
        <v>381</v>
      </c>
      <c r="M930" t="str">
        <f t="shared" si="128"/>
        <v>Stress</v>
      </c>
      <c r="R930" t="s">
        <v>408</v>
      </c>
      <c r="S930" t="s">
        <v>701</v>
      </c>
      <c r="T930" t="s">
        <v>695</v>
      </c>
      <c r="U930" t="s">
        <v>610</v>
      </c>
      <c r="V930" s="1" t="s">
        <v>774</v>
      </c>
      <c r="W930" s="1">
        <v>1.5000000000000001E-12</v>
      </c>
      <c r="X930" s="1">
        <v>1.5000000000000001E-12</v>
      </c>
      <c r="Y930" s="2"/>
      <c r="Z930" s="2"/>
      <c r="AA930" s="1"/>
      <c r="AB930" s="1">
        <v>3.5000000000000002E-11</v>
      </c>
      <c r="AD930">
        <v>509.7</v>
      </c>
      <c r="AF930" s="2"/>
      <c r="AG930" s="2">
        <v>8</v>
      </c>
      <c r="AK930" t="s">
        <v>198</v>
      </c>
    </row>
    <row r="931" spans="1:37" hidden="1" x14ac:dyDescent="0.25">
      <c r="A931" t="s">
        <v>331</v>
      </c>
      <c r="B931" t="s">
        <v>357</v>
      </c>
      <c r="C931" t="s">
        <v>139</v>
      </c>
      <c r="D931" t="s">
        <v>140</v>
      </c>
      <c r="E931" t="s">
        <v>17</v>
      </c>
      <c r="F931" t="s">
        <v>69</v>
      </c>
      <c r="G931" t="s">
        <v>616</v>
      </c>
      <c r="H931" t="s">
        <v>760</v>
      </c>
      <c r="I931" t="s">
        <v>705</v>
      </c>
      <c r="J931">
        <f>+AVERAGE(4.7,5.5)*30</f>
        <v>153</v>
      </c>
      <c r="K931" t="s">
        <v>590</v>
      </c>
      <c r="L931" t="s">
        <v>36</v>
      </c>
      <c r="M931" t="str">
        <f t="shared" si="128"/>
        <v>Control</v>
      </c>
      <c r="R931" t="s">
        <v>408</v>
      </c>
      <c r="S931" t="s">
        <v>701</v>
      </c>
      <c r="T931" t="s">
        <v>695</v>
      </c>
      <c r="U931" t="s">
        <v>610</v>
      </c>
      <c r="V931" s="1" t="s">
        <v>774</v>
      </c>
      <c r="W931" s="1">
        <v>2.5999999999999998E-12</v>
      </c>
      <c r="X931" s="1">
        <v>2.5999999999999998E-12</v>
      </c>
      <c r="Y931" s="2"/>
      <c r="Z931" s="2"/>
      <c r="AA931" s="1"/>
      <c r="AB931" s="1">
        <v>2.0000000000000001E-10</v>
      </c>
      <c r="AD931">
        <v>664.9</v>
      </c>
      <c r="AF931" s="2"/>
      <c r="AG931" s="2">
        <v>15.1</v>
      </c>
      <c r="AK931" t="s">
        <v>198</v>
      </c>
    </row>
    <row r="932" spans="1:37" hidden="1" x14ac:dyDescent="0.25">
      <c r="A932" t="s">
        <v>521</v>
      </c>
      <c r="B932" t="s">
        <v>98</v>
      </c>
      <c r="C932" t="s">
        <v>99</v>
      </c>
      <c r="D932" t="s">
        <v>89</v>
      </c>
      <c r="E932" t="s">
        <v>17</v>
      </c>
      <c r="F932" t="s">
        <v>618</v>
      </c>
      <c r="G932" t="s">
        <v>618</v>
      </c>
      <c r="H932" t="s">
        <v>801</v>
      </c>
      <c r="I932" t="s">
        <v>804</v>
      </c>
      <c r="K932" t="s">
        <v>672</v>
      </c>
      <c r="L932" t="s">
        <v>36</v>
      </c>
      <c r="M932" t="str">
        <f t="shared" si="128"/>
        <v>Control</v>
      </c>
      <c r="N932" t="s">
        <v>522</v>
      </c>
      <c r="O932" t="s">
        <v>707</v>
      </c>
      <c r="R932" t="s">
        <v>408</v>
      </c>
      <c r="S932" t="s">
        <v>701</v>
      </c>
      <c r="T932" t="s">
        <v>695</v>
      </c>
      <c r="U932" t="s">
        <v>609</v>
      </c>
      <c r="V932" s="1" t="s">
        <v>733</v>
      </c>
      <c r="W932" s="1">
        <f t="shared" ref="W932:W935" si="129">+Y932*AF932</f>
        <v>1.5916499999999999E-8</v>
      </c>
      <c r="Y932" s="1">
        <f>0.00000131/60</f>
        <v>2.1833333333333334E-8</v>
      </c>
      <c r="Z932" s="1"/>
      <c r="AA932" s="1"/>
      <c r="AF932" s="2">
        <v>0.72899999999999998</v>
      </c>
      <c r="AG932" s="2"/>
      <c r="AK932" t="s">
        <v>199</v>
      </c>
    </row>
    <row r="933" spans="1:37" hidden="1" x14ac:dyDescent="0.25">
      <c r="A933" t="s">
        <v>521</v>
      </c>
      <c r="B933" t="s">
        <v>98</v>
      </c>
      <c r="C933" t="s">
        <v>99</v>
      </c>
      <c r="D933" t="s">
        <v>89</v>
      </c>
      <c r="E933" t="s">
        <v>17</v>
      </c>
      <c r="F933" t="s">
        <v>618</v>
      </c>
      <c r="G933" t="s">
        <v>618</v>
      </c>
      <c r="H933" t="s">
        <v>801</v>
      </c>
      <c r="I933" t="s">
        <v>804</v>
      </c>
      <c r="K933" t="s">
        <v>672</v>
      </c>
      <c r="L933" t="s">
        <v>36</v>
      </c>
      <c r="M933" t="str">
        <f t="shared" si="128"/>
        <v>Control</v>
      </c>
      <c r="N933" t="s">
        <v>523</v>
      </c>
      <c r="O933" t="s">
        <v>707</v>
      </c>
      <c r="R933" t="s">
        <v>408</v>
      </c>
      <c r="S933" t="s">
        <v>701</v>
      </c>
      <c r="T933" t="s">
        <v>695</v>
      </c>
      <c r="U933" t="s">
        <v>609</v>
      </c>
      <c r="V933" s="1" t="s">
        <v>733</v>
      </c>
      <c r="W933" s="1">
        <f t="shared" si="129"/>
        <v>1.1418833333333333E-8</v>
      </c>
      <c r="Y933" s="1">
        <f>0.00000131/60</f>
        <v>2.1833333333333334E-8</v>
      </c>
      <c r="Z933" s="1"/>
      <c r="AA933" s="1"/>
      <c r="AF933" s="2">
        <v>0.52300000000000002</v>
      </c>
      <c r="AG933" s="2"/>
      <c r="AK933" t="s">
        <v>199</v>
      </c>
    </row>
    <row r="934" spans="1:37" hidden="1" x14ac:dyDescent="0.25">
      <c r="A934" t="s">
        <v>521</v>
      </c>
      <c r="B934" t="s">
        <v>98</v>
      </c>
      <c r="C934" t="s">
        <v>99</v>
      </c>
      <c r="D934" t="s">
        <v>89</v>
      </c>
      <c r="E934" t="s">
        <v>17</v>
      </c>
      <c r="F934" t="s">
        <v>618</v>
      </c>
      <c r="G934" t="s">
        <v>618</v>
      </c>
      <c r="H934" t="s">
        <v>801</v>
      </c>
      <c r="I934" t="s">
        <v>804</v>
      </c>
      <c r="K934" t="s">
        <v>672</v>
      </c>
      <c r="L934" t="s">
        <v>524</v>
      </c>
      <c r="M934" t="str">
        <f t="shared" si="128"/>
        <v>Stress</v>
      </c>
      <c r="N934" t="s">
        <v>522</v>
      </c>
      <c r="O934" t="s">
        <v>707</v>
      </c>
      <c r="R934" t="s">
        <v>408</v>
      </c>
      <c r="S934" t="s">
        <v>701</v>
      </c>
      <c r="T934" t="s">
        <v>695</v>
      </c>
      <c r="U934" t="s">
        <v>609</v>
      </c>
      <c r="V934" s="1" t="s">
        <v>733</v>
      </c>
      <c r="W934" s="1">
        <f t="shared" si="129"/>
        <v>5.0819999999999996E-9</v>
      </c>
      <c r="Y934" s="1">
        <f>0.00000044/60</f>
        <v>7.3333333333333337E-9</v>
      </c>
      <c r="Z934" s="1"/>
      <c r="AA934" s="1"/>
      <c r="AF934" s="2">
        <v>0.69299999999999995</v>
      </c>
      <c r="AG934" s="2"/>
      <c r="AK934" t="s">
        <v>199</v>
      </c>
    </row>
    <row r="935" spans="1:37" hidden="1" x14ac:dyDescent="0.25">
      <c r="A935" t="s">
        <v>521</v>
      </c>
      <c r="B935" t="s">
        <v>98</v>
      </c>
      <c r="C935" t="s">
        <v>99</v>
      </c>
      <c r="D935" t="s">
        <v>89</v>
      </c>
      <c r="E935" t="s">
        <v>17</v>
      </c>
      <c r="F935" t="s">
        <v>618</v>
      </c>
      <c r="G935" t="s">
        <v>618</v>
      </c>
      <c r="H935" t="s">
        <v>801</v>
      </c>
      <c r="I935" t="s">
        <v>804</v>
      </c>
      <c r="K935" t="s">
        <v>672</v>
      </c>
      <c r="L935" t="s">
        <v>524</v>
      </c>
      <c r="M935" t="str">
        <f t="shared" si="128"/>
        <v>Stress</v>
      </c>
      <c r="N935" t="s">
        <v>523</v>
      </c>
      <c r="O935" t="s">
        <v>707</v>
      </c>
      <c r="R935" t="s">
        <v>408</v>
      </c>
      <c r="S935" t="s">
        <v>701</v>
      </c>
      <c r="T935" t="s">
        <v>695</v>
      </c>
      <c r="U935" t="s">
        <v>609</v>
      </c>
      <c r="V935" s="1" t="s">
        <v>733</v>
      </c>
      <c r="W935" s="1">
        <f t="shared" si="129"/>
        <v>1.6940000000000001E-9</v>
      </c>
      <c r="Y935" s="1">
        <f>0.00000044/60</f>
        <v>7.3333333333333337E-9</v>
      </c>
      <c r="Z935" s="1"/>
      <c r="AA935" s="1"/>
      <c r="AF935" s="2">
        <v>0.23100000000000001</v>
      </c>
      <c r="AG935" s="2"/>
      <c r="AK935" t="s">
        <v>199</v>
      </c>
    </row>
    <row r="936" spans="1:37" hidden="1" x14ac:dyDescent="0.25">
      <c r="A936" t="s">
        <v>540</v>
      </c>
      <c r="B936" t="s">
        <v>541</v>
      </c>
      <c r="C936" t="s">
        <v>148</v>
      </c>
      <c r="D936" t="s">
        <v>149</v>
      </c>
      <c r="E936" t="s">
        <v>17</v>
      </c>
      <c r="F936" t="s">
        <v>69</v>
      </c>
      <c r="G936" t="s">
        <v>763</v>
      </c>
      <c r="H936" t="s">
        <v>760</v>
      </c>
      <c r="I936" t="s">
        <v>705</v>
      </c>
      <c r="J936">
        <f>2*365</f>
        <v>730</v>
      </c>
      <c r="K936" t="s">
        <v>756</v>
      </c>
      <c r="L936" t="s">
        <v>756</v>
      </c>
      <c r="M936" t="s">
        <v>756</v>
      </c>
      <c r="R936" t="s">
        <v>407</v>
      </c>
      <c r="S936" t="s">
        <v>701</v>
      </c>
      <c r="T936" t="s">
        <v>695</v>
      </c>
      <c r="U936" t="s">
        <v>609</v>
      </c>
      <c r="V936" s="1" t="s">
        <v>774</v>
      </c>
      <c r="W936" s="1">
        <v>2.07E-8</v>
      </c>
      <c r="Y936" s="1"/>
      <c r="Z936" s="1"/>
      <c r="AA936" s="1"/>
      <c r="AC936" s="1"/>
      <c r="AF936" s="2">
        <v>32.1</v>
      </c>
      <c r="AG936" s="2"/>
      <c r="AK936" t="s">
        <v>542</v>
      </c>
    </row>
    <row r="937" spans="1:37" hidden="1" x14ac:dyDescent="0.25">
      <c r="A937" t="s">
        <v>540</v>
      </c>
      <c r="B937" t="s">
        <v>541</v>
      </c>
      <c r="C937" t="s">
        <v>148</v>
      </c>
      <c r="D937" t="s">
        <v>149</v>
      </c>
      <c r="E937" t="s">
        <v>17</v>
      </c>
      <c r="F937" t="s">
        <v>69</v>
      </c>
      <c r="G937" t="s">
        <v>763</v>
      </c>
      <c r="H937" t="s">
        <v>760</v>
      </c>
      <c r="I937" t="s">
        <v>705</v>
      </c>
      <c r="J937">
        <f>2*365</f>
        <v>730</v>
      </c>
      <c r="K937" t="s">
        <v>756</v>
      </c>
      <c r="L937" t="s">
        <v>756</v>
      </c>
      <c r="M937" t="s">
        <v>756</v>
      </c>
      <c r="R937" t="s">
        <v>408</v>
      </c>
      <c r="S937" t="s">
        <v>701</v>
      </c>
      <c r="T937" t="s">
        <v>695</v>
      </c>
      <c r="U937" t="s">
        <v>609</v>
      </c>
      <c r="V937" s="1" t="s">
        <v>774</v>
      </c>
      <c r="W937" s="1">
        <f>+AVERAGE(31.3,28.7,33.7,28.2,20.8,20.7)*0.000000001</f>
        <v>2.7233333333333336E-8</v>
      </c>
      <c r="Y937" s="1"/>
      <c r="Z937" s="1"/>
      <c r="AA937" s="1"/>
      <c r="AC937" s="1"/>
      <c r="AF937" s="2">
        <f>+AVERAGE(27.9,45.6,36.8,50.7,26.3,32.1)</f>
        <v>36.56666666666667</v>
      </c>
      <c r="AG937" s="2"/>
      <c r="AK937" t="s">
        <v>542</v>
      </c>
    </row>
    <row r="938" spans="1:37" hidden="1" x14ac:dyDescent="0.25">
      <c r="A938" t="s">
        <v>540</v>
      </c>
      <c r="B938" t="s">
        <v>541</v>
      </c>
      <c r="C938" t="s">
        <v>148</v>
      </c>
      <c r="D938" t="s">
        <v>149</v>
      </c>
      <c r="E938" t="s">
        <v>17</v>
      </c>
      <c r="F938" t="s">
        <v>69</v>
      </c>
      <c r="G938" t="s">
        <v>763</v>
      </c>
      <c r="H938" t="s">
        <v>760</v>
      </c>
      <c r="I938" t="s">
        <v>705</v>
      </c>
      <c r="J938">
        <f>2*365</f>
        <v>730</v>
      </c>
      <c r="K938" t="s">
        <v>756</v>
      </c>
      <c r="L938" t="s">
        <v>756</v>
      </c>
      <c r="M938" t="s">
        <v>756</v>
      </c>
      <c r="R938" t="s">
        <v>409</v>
      </c>
      <c r="S938" t="s">
        <v>701</v>
      </c>
      <c r="T938" t="s">
        <v>695</v>
      </c>
      <c r="U938" t="s">
        <v>609</v>
      </c>
      <c r="V938" s="1" t="s">
        <v>774</v>
      </c>
      <c r="W938" s="1">
        <v>3.3699999999999997E-8</v>
      </c>
      <c r="Y938" s="1"/>
      <c r="Z938" s="1"/>
      <c r="AA938" s="1"/>
      <c r="AC938" s="1"/>
      <c r="AF938" s="2">
        <v>36.799999999999997</v>
      </c>
      <c r="AG938" s="2"/>
      <c r="AK938" t="s">
        <v>542</v>
      </c>
    </row>
    <row r="939" spans="1:37" hidden="1" x14ac:dyDescent="0.25">
      <c r="A939" t="s">
        <v>188</v>
      </c>
      <c r="B939" t="s">
        <v>32</v>
      </c>
      <c r="C939" t="s">
        <v>33</v>
      </c>
      <c r="D939" t="s">
        <v>34</v>
      </c>
      <c r="E939" t="s">
        <v>17</v>
      </c>
      <c r="F939" t="s">
        <v>614</v>
      </c>
      <c r="G939" t="s">
        <v>614</v>
      </c>
      <c r="H939" t="s">
        <v>801</v>
      </c>
      <c r="I939" t="s">
        <v>804</v>
      </c>
      <c r="K939" t="s">
        <v>136</v>
      </c>
      <c r="L939" t="s">
        <v>36</v>
      </c>
      <c r="M939" t="str">
        <f>+IF(L939 = "Control", "Control", "Stress")</f>
        <v>Control</v>
      </c>
      <c r="R939" t="s">
        <v>408</v>
      </c>
      <c r="S939" t="s">
        <v>701</v>
      </c>
      <c r="T939" t="s">
        <v>695</v>
      </c>
      <c r="U939" t="s">
        <v>609</v>
      </c>
      <c r="V939" s="1" t="s">
        <v>774</v>
      </c>
      <c r="W939" s="1">
        <v>1.8950000000000001E-8</v>
      </c>
      <c r="X939" s="1"/>
      <c r="Y939" s="1"/>
      <c r="Z939" s="1"/>
      <c r="AA939" s="1"/>
      <c r="AC939" s="1"/>
      <c r="AF939" s="2"/>
      <c r="AG939" s="2"/>
      <c r="AK939" t="s">
        <v>199</v>
      </c>
    </row>
    <row r="940" spans="1:37" hidden="1" x14ac:dyDescent="0.25">
      <c r="A940" t="s">
        <v>188</v>
      </c>
      <c r="B940" t="s">
        <v>32</v>
      </c>
      <c r="C940" t="s">
        <v>33</v>
      </c>
      <c r="D940" t="s">
        <v>34</v>
      </c>
      <c r="E940" t="s">
        <v>17</v>
      </c>
      <c r="F940" t="s">
        <v>614</v>
      </c>
      <c r="G940" t="s">
        <v>614</v>
      </c>
      <c r="H940" t="s">
        <v>801</v>
      </c>
      <c r="I940" t="s">
        <v>804</v>
      </c>
      <c r="K940" t="s">
        <v>136</v>
      </c>
      <c r="L940" t="s">
        <v>100</v>
      </c>
      <c r="M940" t="str">
        <f>+IF(L940 = "Control", "Control", "Stress")</f>
        <v>Stress</v>
      </c>
      <c r="R940" t="s">
        <v>408</v>
      </c>
      <c r="S940" t="s">
        <v>701</v>
      </c>
      <c r="T940" t="s">
        <v>695</v>
      </c>
      <c r="U940" t="s">
        <v>609</v>
      </c>
      <c r="V940" s="1" t="s">
        <v>774</v>
      </c>
      <c r="W940" s="1">
        <v>1.8069999999999999E-8</v>
      </c>
      <c r="X940" s="1"/>
      <c r="Y940" s="1"/>
      <c r="Z940" s="1"/>
      <c r="AA940" s="1"/>
      <c r="AC940" s="1"/>
      <c r="AF940" s="2"/>
      <c r="AG940" s="2"/>
      <c r="AK940" t="s">
        <v>199</v>
      </c>
    </row>
    <row r="941" spans="1:37" hidden="1" x14ac:dyDescent="0.25">
      <c r="A941" t="s">
        <v>189</v>
      </c>
      <c r="B941" t="s">
        <v>102</v>
      </c>
      <c r="C941" t="s">
        <v>75</v>
      </c>
      <c r="D941" t="s">
        <v>16</v>
      </c>
      <c r="E941" t="s">
        <v>17</v>
      </c>
      <c r="F941" t="s">
        <v>18</v>
      </c>
      <c r="G941" t="s">
        <v>18</v>
      </c>
      <c r="H941" t="s">
        <v>18</v>
      </c>
      <c r="I941" t="s">
        <v>704</v>
      </c>
      <c r="J941">
        <v>30</v>
      </c>
      <c r="K941" t="s">
        <v>756</v>
      </c>
      <c r="L941" t="s">
        <v>756</v>
      </c>
      <c r="M941" t="s">
        <v>756</v>
      </c>
      <c r="R941" t="s">
        <v>408</v>
      </c>
      <c r="S941" t="s">
        <v>701</v>
      </c>
      <c r="T941" t="s">
        <v>695</v>
      </c>
      <c r="U941" t="s">
        <v>609</v>
      </c>
      <c r="V941" s="1" t="s">
        <v>774</v>
      </c>
      <c r="W941" s="1">
        <v>3.4699999999999999E-10</v>
      </c>
      <c r="X941" s="1"/>
      <c r="Y941" s="1"/>
      <c r="Z941" s="1">
        <v>1.1000000000000001E-11</v>
      </c>
      <c r="AA941" s="1"/>
      <c r="AC941" s="1"/>
      <c r="AD941" s="3"/>
      <c r="AE941">
        <v>5870</v>
      </c>
      <c r="AF941" s="2"/>
      <c r="AG941" s="2"/>
      <c r="AJ941" s="3"/>
      <c r="AK941" t="s">
        <v>199</v>
      </c>
    </row>
    <row r="942" spans="1:37" hidden="1" x14ac:dyDescent="0.25">
      <c r="A942" t="s">
        <v>189</v>
      </c>
      <c r="B942" t="s">
        <v>190</v>
      </c>
      <c r="C942" t="s">
        <v>191</v>
      </c>
      <c r="D942" t="s">
        <v>89</v>
      </c>
      <c r="E942" t="s">
        <v>17</v>
      </c>
      <c r="F942" t="s">
        <v>618</v>
      </c>
      <c r="G942" t="s">
        <v>618</v>
      </c>
      <c r="H942" t="s">
        <v>801</v>
      </c>
      <c r="I942" t="s">
        <v>804</v>
      </c>
      <c r="J942">
        <v>30</v>
      </c>
      <c r="K942" t="s">
        <v>756</v>
      </c>
      <c r="L942" t="s">
        <v>756</v>
      </c>
      <c r="M942" t="s">
        <v>756</v>
      </c>
      <c r="R942" t="s">
        <v>408</v>
      </c>
      <c r="S942" t="s">
        <v>701</v>
      </c>
      <c r="T942" t="s">
        <v>695</v>
      </c>
      <c r="U942" t="s">
        <v>609</v>
      </c>
      <c r="V942" s="1" t="s">
        <v>774</v>
      </c>
      <c r="W942" s="1">
        <v>6.2500000000000001E-10</v>
      </c>
      <c r="X942" s="1"/>
      <c r="Y942" s="1"/>
      <c r="Z942" s="1">
        <v>4.1000000000000001E-11</v>
      </c>
      <c r="AA942" s="1"/>
      <c r="AC942" s="1"/>
      <c r="AD942" s="3"/>
      <c r="AE942">
        <v>1550</v>
      </c>
      <c r="AF942" s="2"/>
      <c r="AG942" s="2"/>
      <c r="AJ942" s="3"/>
      <c r="AK942" t="s">
        <v>199</v>
      </c>
    </row>
    <row r="943" spans="1:37" hidden="1" x14ac:dyDescent="0.25">
      <c r="A943" t="s">
        <v>332</v>
      </c>
      <c r="B943" t="s">
        <v>102</v>
      </c>
      <c r="C943" t="s">
        <v>75</v>
      </c>
      <c r="D943" t="s">
        <v>16</v>
      </c>
      <c r="E943" t="s">
        <v>17</v>
      </c>
      <c r="F943" t="s">
        <v>18</v>
      </c>
      <c r="G943" t="s">
        <v>18</v>
      </c>
      <c r="H943" t="s">
        <v>18</v>
      </c>
      <c r="I943" t="s">
        <v>704</v>
      </c>
      <c r="J943">
        <v>20</v>
      </c>
      <c r="K943" t="s">
        <v>694</v>
      </c>
      <c r="L943" t="s">
        <v>36</v>
      </c>
      <c r="M943" t="str">
        <f t="shared" ref="M943:M965" si="130">+IF(L943 = "Control", "Control", "Stress")</f>
        <v>Control</v>
      </c>
      <c r="N943" t="s">
        <v>730</v>
      </c>
      <c r="O943" t="s">
        <v>707</v>
      </c>
      <c r="R943" t="s">
        <v>408</v>
      </c>
      <c r="S943" t="s">
        <v>701</v>
      </c>
      <c r="T943" t="s">
        <v>695</v>
      </c>
      <c r="U943" t="s">
        <v>610</v>
      </c>
      <c r="V943" s="1"/>
      <c r="W943" s="1"/>
      <c r="X943" s="1">
        <f>0.0000003949/3600</f>
        <v>1.0969444444444444E-10</v>
      </c>
      <c r="Y943" s="1"/>
      <c r="Z943" s="1"/>
      <c r="AA943" s="1"/>
      <c r="AC943" s="1"/>
      <c r="AD943" s="3"/>
      <c r="AF943" s="2"/>
      <c r="AG943" s="2"/>
      <c r="AK943" t="s">
        <v>348</v>
      </c>
    </row>
    <row r="944" spans="1:37" hidden="1" x14ac:dyDescent="0.25">
      <c r="A944" t="s">
        <v>332</v>
      </c>
      <c r="B944" t="s">
        <v>102</v>
      </c>
      <c r="C944" t="s">
        <v>75</v>
      </c>
      <c r="D944" t="s">
        <v>16</v>
      </c>
      <c r="E944" t="s">
        <v>17</v>
      </c>
      <c r="F944" t="s">
        <v>18</v>
      </c>
      <c r="G944" t="s">
        <v>18</v>
      </c>
      <c r="H944" t="s">
        <v>18</v>
      </c>
      <c r="I944" t="s">
        <v>704</v>
      </c>
      <c r="J944">
        <v>20</v>
      </c>
      <c r="K944" t="s">
        <v>694</v>
      </c>
      <c r="L944" t="s">
        <v>594</v>
      </c>
      <c r="M944" t="str">
        <f t="shared" si="130"/>
        <v>Stress</v>
      </c>
      <c r="N944" t="s">
        <v>730</v>
      </c>
      <c r="O944" t="s">
        <v>707</v>
      </c>
      <c r="R944" t="s">
        <v>408</v>
      </c>
      <c r="S944" t="s">
        <v>701</v>
      </c>
      <c r="T944" t="s">
        <v>695</v>
      </c>
      <c r="U944" t="s">
        <v>610</v>
      </c>
      <c r="V944" s="1"/>
      <c r="W944" s="1"/>
      <c r="X944" s="1">
        <f>0.0000000832/3600</f>
        <v>2.3111111111111113E-11</v>
      </c>
      <c r="Y944" s="1"/>
      <c r="Z944" s="1"/>
      <c r="AA944" s="1"/>
      <c r="AC944" s="1"/>
      <c r="AD944" s="3"/>
      <c r="AF944" s="2"/>
      <c r="AG944" s="2"/>
      <c r="AK944" t="s">
        <v>348</v>
      </c>
    </row>
    <row r="945" spans="1:37" hidden="1" x14ac:dyDescent="0.25">
      <c r="A945" t="s">
        <v>332</v>
      </c>
      <c r="B945" t="s">
        <v>102</v>
      </c>
      <c r="C945" t="s">
        <v>75</v>
      </c>
      <c r="D945" t="s">
        <v>16</v>
      </c>
      <c r="E945" t="s">
        <v>17</v>
      </c>
      <c r="F945" t="s">
        <v>18</v>
      </c>
      <c r="G945" t="s">
        <v>18</v>
      </c>
      <c r="H945" t="s">
        <v>18</v>
      </c>
      <c r="I945" t="s">
        <v>704</v>
      </c>
      <c r="J945">
        <v>20</v>
      </c>
      <c r="K945" t="s">
        <v>694</v>
      </c>
      <c r="L945" t="s">
        <v>578</v>
      </c>
      <c r="M945" t="str">
        <f t="shared" si="130"/>
        <v>Stress</v>
      </c>
      <c r="N945" t="s">
        <v>730</v>
      </c>
      <c r="O945" t="s">
        <v>707</v>
      </c>
      <c r="R945" t="s">
        <v>408</v>
      </c>
      <c r="S945" t="s">
        <v>701</v>
      </c>
      <c r="T945" t="s">
        <v>695</v>
      </c>
      <c r="U945" t="s">
        <v>610</v>
      </c>
      <c r="V945" s="1"/>
      <c r="W945" s="1"/>
      <c r="X945" s="1">
        <f>0.0000001085/3600</f>
        <v>3.013888888888889E-11</v>
      </c>
      <c r="Y945" s="1"/>
      <c r="Z945" s="1"/>
      <c r="AA945" s="1"/>
      <c r="AC945" s="1"/>
      <c r="AD945" s="3"/>
      <c r="AF945" s="2"/>
      <c r="AG945" s="2"/>
      <c r="AK945" t="s">
        <v>348</v>
      </c>
    </row>
    <row r="946" spans="1:37" hidden="1" x14ac:dyDescent="0.25">
      <c r="A946" t="s">
        <v>332</v>
      </c>
      <c r="B946" t="s">
        <v>102</v>
      </c>
      <c r="C946" t="s">
        <v>75</v>
      </c>
      <c r="D946" t="s">
        <v>16</v>
      </c>
      <c r="E946" t="s">
        <v>17</v>
      </c>
      <c r="F946" t="s">
        <v>18</v>
      </c>
      <c r="G946" t="s">
        <v>18</v>
      </c>
      <c r="H946" t="s">
        <v>18</v>
      </c>
      <c r="I946" t="s">
        <v>704</v>
      </c>
      <c r="J946">
        <v>20</v>
      </c>
      <c r="K946" t="s">
        <v>694</v>
      </c>
      <c r="L946" t="s">
        <v>36</v>
      </c>
      <c r="M946" t="str">
        <f t="shared" si="130"/>
        <v>Control</v>
      </c>
      <c r="N946" t="s">
        <v>410</v>
      </c>
      <c r="O946" t="s">
        <v>707</v>
      </c>
      <c r="R946" t="s">
        <v>408</v>
      </c>
      <c r="S946" t="s">
        <v>701</v>
      </c>
      <c r="T946" t="s">
        <v>695</v>
      </c>
      <c r="U946" t="s">
        <v>610</v>
      </c>
      <c r="V946" s="1"/>
      <c r="W946" s="1"/>
      <c r="X946" s="1">
        <f>0.0000007964/3600</f>
        <v>2.2122222222222222E-10</v>
      </c>
      <c r="Y946" s="1"/>
      <c r="Z946" s="1"/>
      <c r="AA946" s="1"/>
      <c r="AC946" s="1"/>
      <c r="AD946" s="3"/>
      <c r="AF946" s="2"/>
      <c r="AG946" s="2"/>
      <c r="AK946" t="s">
        <v>348</v>
      </c>
    </row>
    <row r="947" spans="1:37" hidden="1" x14ac:dyDescent="0.25">
      <c r="A947" t="s">
        <v>332</v>
      </c>
      <c r="B947" t="s">
        <v>102</v>
      </c>
      <c r="C947" t="s">
        <v>75</v>
      </c>
      <c r="D947" t="s">
        <v>16</v>
      </c>
      <c r="E947" t="s">
        <v>17</v>
      </c>
      <c r="F947" t="s">
        <v>18</v>
      </c>
      <c r="G947" t="s">
        <v>18</v>
      </c>
      <c r="H947" t="s">
        <v>18</v>
      </c>
      <c r="I947" t="s">
        <v>704</v>
      </c>
      <c r="J947">
        <v>20</v>
      </c>
      <c r="K947" t="s">
        <v>694</v>
      </c>
      <c r="L947" t="s">
        <v>594</v>
      </c>
      <c r="M947" t="str">
        <f t="shared" si="130"/>
        <v>Stress</v>
      </c>
      <c r="N947" t="s">
        <v>410</v>
      </c>
      <c r="O947" t="s">
        <v>707</v>
      </c>
      <c r="R947" t="s">
        <v>408</v>
      </c>
      <c r="S947" t="s">
        <v>701</v>
      </c>
      <c r="T947" t="s">
        <v>695</v>
      </c>
      <c r="U947" t="s">
        <v>610</v>
      </c>
      <c r="V947" s="1"/>
      <c r="W947" s="1"/>
      <c r="X947" s="1">
        <f>0.0000001214/3600</f>
        <v>3.3722222222222218E-11</v>
      </c>
      <c r="Y947" s="1"/>
      <c r="Z947" s="1"/>
      <c r="AA947" s="1"/>
      <c r="AC947" s="1"/>
      <c r="AD947" s="3"/>
      <c r="AF947" s="2"/>
      <c r="AG947" s="2"/>
      <c r="AK947" t="s">
        <v>348</v>
      </c>
    </row>
    <row r="948" spans="1:37" hidden="1" x14ac:dyDescent="0.25">
      <c r="A948" t="s">
        <v>332</v>
      </c>
      <c r="B948" t="s">
        <v>102</v>
      </c>
      <c r="C948" t="s">
        <v>75</v>
      </c>
      <c r="D948" t="s">
        <v>16</v>
      </c>
      <c r="E948" t="s">
        <v>17</v>
      </c>
      <c r="F948" t="s">
        <v>18</v>
      </c>
      <c r="G948" t="s">
        <v>18</v>
      </c>
      <c r="H948" t="s">
        <v>18</v>
      </c>
      <c r="I948" t="s">
        <v>704</v>
      </c>
      <c r="J948">
        <v>20</v>
      </c>
      <c r="K948" t="s">
        <v>694</v>
      </c>
      <c r="L948" t="s">
        <v>578</v>
      </c>
      <c r="M948" t="str">
        <f t="shared" si="130"/>
        <v>Stress</v>
      </c>
      <c r="N948" t="s">
        <v>410</v>
      </c>
      <c r="O948" t="s">
        <v>707</v>
      </c>
      <c r="R948" t="s">
        <v>408</v>
      </c>
      <c r="S948" t="s">
        <v>701</v>
      </c>
      <c r="T948" t="s">
        <v>695</v>
      </c>
      <c r="U948" t="s">
        <v>610</v>
      </c>
      <c r="V948" s="1"/>
      <c r="W948" s="1"/>
      <c r="X948" s="1">
        <f>0.0000001892/3600</f>
        <v>5.2555555555555557E-11</v>
      </c>
      <c r="Y948" s="1"/>
      <c r="Z948" s="1"/>
      <c r="AA948" s="1"/>
      <c r="AC948" s="1"/>
      <c r="AD948" s="3"/>
      <c r="AF948" s="2"/>
      <c r="AG948" s="2"/>
      <c r="AK948" t="s">
        <v>348</v>
      </c>
    </row>
    <row r="949" spans="1:37" hidden="1" x14ac:dyDescent="0.25">
      <c r="A949" t="s">
        <v>332</v>
      </c>
      <c r="B949" t="s">
        <v>102</v>
      </c>
      <c r="C949" t="s">
        <v>75</v>
      </c>
      <c r="D949" t="s">
        <v>16</v>
      </c>
      <c r="E949" t="s">
        <v>17</v>
      </c>
      <c r="F949" t="s">
        <v>18</v>
      </c>
      <c r="G949" t="s">
        <v>18</v>
      </c>
      <c r="H949" t="s">
        <v>18</v>
      </c>
      <c r="I949" t="s">
        <v>704</v>
      </c>
      <c r="J949">
        <v>20</v>
      </c>
      <c r="K949" t="s">
        <v>595</v>
      </c>
      <c r="L949" t="s">
        <v>36</v>
      </c>
      <c r="M949" t="str">
        <f t="shared" si="130"/>
        <v>Control</v>
      </c>
      <c r="N949" t="s">
        <v>36</v>
      </c>
      <c r="O949" t="str">
        <f t="shared" ref="O949:O960" si="131">+IF(N949="Control","Control","Stress")</f>
        <v>Control</v>
      </c>
      <c r="R949" t="s">
        <v>408</v>
      </c>
      <c r="S949" t="s">
        <v>701</v>
      </c>
      <c r="T949" t="s">
        <v>695</v>
      </c>
      <c r="U949" t="s">
        <v>610</v>
      </c>
      <c r="V949" s="1"/>
      <c r="W949" s="1"/>
      <c r="X949" s="1">
        <f>0.0000008514/3600</f>
        <v>2.3650000000000001E-10</v>
      </c>
      <c r="Y949" s="1"/>
      <c r="Z949" s="1"/>
      <c r="AA949" s="1"/>
      <c r="AC949" s="1"/>
      <c r="AD949" s="3"/>
      <c r="AF949" s="2"/>
      <c r="AG949" s="2"/>
      <c r="AK949" t="s">
        <v>348</v>
      </c>
    </row>
    <row r="950" spans="1:37" hidden="1" x14ac:dyDescent="0.25">
      <c r="A950" t="s">
        <v>332</v>
      </c>
      <c r="B950" t="s">
        <v>102</v>
      </c>
      <c r="C950" t="s">
        <v>75</v>
      </c>
      <c r="D950" t="s">
        <v>16</v>
      </c>
      <c r="E950" t="s">
        <v>17</v>
      </c>
      <c r="F950" t="s">
        <v>18</v>
      </c>
      <c r="G950" t="s">
        <v>18</v>
      </c>
      <c r="H950" t="s">
        <v>18</v>
      </c>
      <c r="I950" t="s">
        <v>704</v>
      </c>
      <c r="J950">
        <v>20</v>
      </c>
      <c r="K950" t="s">
        <v>595</v>
      </c>
      <c r="L950" t="s">
        <v>594</v>
      </c>
      <c r="M950" t="str">
        <f t="shared" si="130"/>
        <v>Stress</v>
      </c>
      <c r="N950" t="s">
        <v>36</v>
      </c>
      <c r="O950" t="str">
        <f t="shared" si="131"/>
        <v>Control</v>
      </c>
      <c r="R950" t="s">
        <v>408</v>
      </c>
      <c r="S950" t="s">
        <v>701</v>
      </c>
      <c r="T950" t="s">
        <v>695</v>
      </c>
      <c r="U950" t="s">
        <v>610</v>
      </c>
      <c r="V950" s="1"/>
      <c r="W950" s="1"/>
      <c r="X950" s="1">
        <f>0.0000001193/3600</f>
        <v>3.3138888888888886E-11</v>
      </c>
      <c r="Y950" s="1"/>
      <c r="Z950" s="1"/>
      <c r="AA950" s="1"/>
      <c r="AC950" s="1"/>
      <c r="AD950" s="3"/>
      <c r="AF950" s="2"/>
      <c r="AG950" s="2"/>
      <c r="AK950" t="s">
        <v>348</v>
      </c>
    </row>
    <row r="951" spans="1:37" hidden="1" x14ac:dyDescent="0.25">
      <c r="A951" t="s">
        <v>332</v>
      </c>
      <c r="B951" t="s">
        <v>102</v>
      </c>
      <c r="C951" t="s">
        <v>75</v>
      </c>
      <c r="D951" t="s">
        <v>16</v>
      </c>
      <c r="E951" t="s">
        <v>17</v>
      </c>
      <c r="F951" t="s">
        <v>18</v>
      </c>
      <c r="G951" t="s">
        <v>18</v>
      </c>
      <c r="H951" t="s">
        <v>18</v>
      </c>
      <c r="I951" t="s">
        <v>704</v>
      </c>
      <c r="J951">
        <v>20</v>
      </c>
      <c r="K951" t="s">
        <v>595</v>
      </c>
      <c r="L951" t="s">
        <v>578</v>
      </c>
      <c r="M951" t="str">
        <f t="shared" si="130"/>
        <v>Stress</v>
      </c>
      <c r="N951" t="s">
        <v>36</v>
      </c>
      <c r="O951" t="str">
        <f t="shared" si="131"/>
        <v>Control</v>
      </c>
      <c r="R951" t="s">
        <v>408</v>
      </c>
      <c r="S951" t="s">
        <v>701</v>
      </c>
      <c r="T951" t="s">
        <v>695</v>
      </c>
      <c r="U951" t="s">
        <v>610</v>
      </c>
      <c r="V951" s="1"/>
      <c r="W951" s="1"/>
      <c r="X951" s="1">
        <f>0.0000001236/3600</f>
        <v>3.4333333333333331E-11</v>
      </c>
      <c r="Y951" s="1"/>
      <c r="Z951" s="1"/>
      <c r="AA951" s="1"/>
      <c r="AC951" s="1"/>
      <c r="AD951" s="3"/>
      <c r="AF951" s="2"/>
      <c r="AG951" s="2"/>
      <c r="AK951" t="s">
        <v>348</v>
      </c>
    </row>
    <row r="952" spans="1:37" hidden="1" x14ac:dyDescent="0.25">
      <c r="A952" t="s">
        <v>332</v>
      </c>
      <c r="B952" t="s">
        <v>102</v>
      </c>
      <c r="C952" t="s">
        <v>75</v>
      </c>
      <c r="D952" t="s">
        <v>16</v>
      </c>
      <c r="E952" t="s">
        <v>17</v>
      </c>
      <c r="F952" t="s">
        <v>18</v>
      </c>
      <c r="G952" t="s">
        <v>18</v>
      </c>
      <c r="H952" t="s">
        <v>18</v>
      </c>
      <c r="I952" t="s">
        <v>704</v>
      </c>
      <c r="J952">
        <v>20</v>
      </c>
      <c r="K952" t="s">
        <v>595</v>
      </c>
      <c r="L952" t="s">
        <v>36</v>
      </c>
      <c r="M952" t="str">
        <f t="shared" si="130"/>
        <v>Control</v>
      </c>
      <c r="N952" t="s">
        <v>494</v>
      </c>
      <c r="O952" t="str">
        <f t="shared" si="131"/>
        <v>Stress</v>
      </c>
      <c r="R952" t="s">
        <v>408</v>
      </c>
      <c r="S952" t="s">
        <v>701</v>
      </c>
      <c r="T952" t="s">
        <v>695</v>
      </c>
      <c r="U952" t="s">
        <v>610</v>
      </c>
      <c r="V952" s="1"/>
      <c r="W952" s="1"/>
      <c r="X952" s="1">
        <f>0.0000004257/3600</f>
        <v>1.1825000000000001E-10</v>
      </c>
      <c r="Y952" s="1"/>
      <c r="Z952" s="1"/>
      <c r="AA952" s="1"/>
      <c r="AC952" s="1"/>
      <c r="AD952" s="3"/>
      <c r="AF952" s="2"/>
      <c r="AG952" s="2"/>
      <c r="AK952" t="s">
        <v>348</v>
      </c>
    </row>
    <row r="953" spans="1:37" hidden="1" x14ac:dyDescent="0.25">
      <c r="A953" t="s">
        <v>332</v>
      </c>
      <c r="B953" t="s">
        <v>102</v>
      </c>
      <c r="C953" t="s">
        <v>75</v>
      </c>
      <c r="D953" t="s">
        <v>16</v>
      </c>
      <c r="E953" t="s">
        <v>17</v>
      </c>
      <c r="F953" t="s">
        <v>18</v>
      </c>
      <c r="G953" t="s">
        <v>18</v>
      </c>
      <c r="H953" t="s">
        <v>18</v>
      </c>
      <c r="I953" t="s">
        <v>704</v>
      </c>
      <c r="J953">
        <v>20</v>
      </c>
      <c r="K953" t="s">
        <v>595</v>
      </c>
      <c r="L953" t="s">
        <v>594</v>
      </c>
      <c r="M953" t="str">
        <f t="shared" si="130"/>
        <v>Stress</v>
      </c>
      <c r="N953" t="s">
        <v>494</v>
      </c>
      <c r="O953" t="str">
        <f t="shared" si="131"/>
        <v>Stress</v>
      </c>
      <c r="R953" t="s">
        <v>408</v>
      </c>
      <c r="S953" t="s">
        <v>701</v>
      </c>
      <c r="T953" t="s">
        <v>695</v>
      </c>
      <c r="U953" t="s">
        <v>610</v>
      </c>
      <c r="V953" s="1"/>
      <c r="W953" s="1"/>
      <c r="X953" s="1">
        <f>0.0000000795/3600</f>
        <v>2.2083333333333335E-11</v>
      </c>
      <c r="Y953" s="1"/>
      <c r="Z953" s="1"/>
      <c r="AA953" s="1"/>
      <c r="AC953" s="1"/>
      <c r="AD953" s="3"/>
      <c r="AF953" s="2"/>
      <c r="AG953" s="2"/>
      <c r="AK953" t="s">
        <v>348</v>
      </c>
    </row>
    <row r="954" spans="1:37" hidden="1" x14ac:dyDescent="0.25">
      <c r="A954" t="s">
        <v>332</v>
      </c>
      <c r="B954" t="s">
        <v>102</v>
      </c>
      <c r="C954" t="s">
        <v>75</v>
      </c>
      <c r="D954" t="s">
        <v>16</v>
      </c>
      <c r="E954" t="s">
        <v>17</v>
      </c>
      <c r="F954" t="s">
        <v>18</v>
      </c>
      <c r="G954" t="s">
        <v>18</v>
      </c>
      <c r="H954" t="s">
        <v>18</v>
      </c>
      <c r="I954" t="s">
        <v>704</v>
      </c>
      <c r="J954">
        <v>20</v>
      </c>
      <c r="K954" t="s">
        <v>595</v>
      </c>
      <c r="L954" t="s">
        <v>578</v>
      </c>
      <c r="M954" t="str">
        <f t="shared" si="130"/>
        <v>Stress</v>
      </c>
      <c r="N954" t="s">
        <v>494</v>
      </c>
      <c r="O954" t="str">
        <f t="shared" si="131"/>
        <v>Stress</v>
      </c>
      <c r="R954" t="s">
        <v>408</v>
      </c>
      <c r="S954" t="s">
        <v>701</v>
      </c>
      <c r="T954" t="s">
        <v>695</v>
      </c>
      <c r="U954" t="s">
        <v>610</v>
      </c>
      <c r="V954" s="1"/>
      <c r="W954" s="1"/>
      <c r="X954" s="1">
        <f>0.0000001364/3600</f>
        <v>3.7888888888888889E-11</v>
      </c>
      <c r="Y954" s="1"/>
      <c r="Z954" s="1"/>
      <c r="AA954" s="1"/>
      <c r="AC954" s="1"/>
      <c r="AD954" s="3"/>
      <c r="AF954" s="2"/>
      <c r="AG954" s="2"/>
      <c r="AK954" t="s">
        <v>348</v>
      </c>
    </row>
    <row r="955" spans="1:37" hidden="1" x14ac:dyDescent="0.25">
      <c r="A955" t="s">
        <v>332</v>
      </c>
      <c r="B955" t="s">
        <v>102</v>
      </c>
      <c r="C955" t="s">
        <v>75</v>
      </c>
      <c r="D955" t="s">
        <v>16</v>
      </c>
      <c r="E955" t="s">
        <v>17</v>
      </c>
      <c r="F955" t="s">
        <v>18</v>
      </c>
      <c r="G955" t="s">
        <v>18</v>
      </c>
      <c r="H955" t="s">
        <v>18</v>
      </c>
      <c r="I955" t="s">
        <v>704</v>
      </c>
      <c r="J955">
        <v>20</v>
      </c>
      <c r="K955" t="s">
        <v>591</v>
      </c>
      <c r="L955" t="s">
        <v>36</v>
      </c>
      <c r="M955" t="str">
        <f t="shared" si="130"/>
        <v>Control</v>
      </c>
      <c r="N955" t="s">
        <v>36</v>
      </c>
      <c r="O955" t="str">
        <f t="shared" si="131"/>
        <v>Control</v>
      </c>
      <c r="R955" t="s">
        <v>408</v>
      </c>
      <c r="S955" t="s">
        <v>701</v>
      </c>
      <c r="T955" t="s">
        <v>695</v>
      </c>
      <c r="U955" t="s">
        <v>610</v>
      </c>
      <c r="V955" s="1"/>
      <c r="W955" s="1"/>
      <c r="X955" s="1">
        <f>0.0000007603/3600</f>
        <v>2.1119444444444446E-10</v>
      </c>
      <c r="Y955" s="1"/>
      <c r="Z955" s="1"/>
      <c r="AA955" s="1"/>
      <c r="AC955" s="1"/>
      <c r="AD955" s="3"/>
      <c r="AF955" s="2"/>
      <c r="AG955" s="2"/>
      <c r="AK955" t="s">
        <v>348</v>
      </c>
    </row>
    <row r="956" spans="1:37" hidden="1" x14ac:dyDescent="0.25">
      <c r="A956" t="s">
        <v>332</v>
      </c>
      <c r="B956" t="s">
        <v>102</v>
      </c>
      <c r="C956" t="s">
        <v>75</v>
      </c>
      <c r="D956" t="s">
        <v>16</v>
      </c>
      <c r="E956" t="s">
        <v>17</v>
      </c>
      <c r="F956" t="s">
        <v>18</v>
      </c>
      <c r="G956" t="s">
        <v>18</v>
      </c>
      <c r="H956" t="s">
        <v>18</v>
      </c>
      <c r="I956" t="s">
        <v>704</v>
      </c>
      <c r="J956">
        <v>20</v>
      </c>
      <c r="K956" t="s">
        <v>591</v>
      </c>
      <c r="L956" t="s">
        <v>36</v>
      </c>
      <c r="M956" t="str">
        <f t="shared" si="130"/>
        <v>Control</v>
      </c>
      <c r="N956" t="s">
        <v>594</v>
      </c>
      <c r="O956" t="str">
        <f t="shared" si="131"/>
        <v>Stress</v>
      </c>
      <c r="R956" t="s">
        <v>408</v>
      </c>
      <c r="S956" t="s">
        <v>701</v>
      </c>
      <c r="T956" t="s">
        <v>695</v>
      </c>
      <c r="U956" t="s">
        <v>610</v>
      </c>
      <c r="V956" s="1"/>
      <c r="W956" s="1"/>
      <c r="X956" s="1">
        <f>0.0000001233/3600</f>
        <v>3.4249999999999998E-11</v>
      </c>
      <c r="Y956" s="1"/>
      <c r="Z956" s="1"/>
      <c r="AA956" s="1"/>
      <c r="AC956" s="1"/>
      <c r="AD956" s="3"/>
      <c r="AF956" s="2"/>
      <c r="AG956" s="2"/>
      <c r="AK956" t="s">
        <v>348</v>
      </c>
    </row>
    <row r="957" spans="1:37" hidden="1" x14ac:dyDescent="0.25">
      <c r="A957" t="s">
        <v>332</v>
      </c>
      <c r="B957" t="s">
        <v>102</v>
      </c>
      <c r="C957" t="s">
        <v>75</v>
      </c>
      <c r="D957" t="s">
        <v>16</v>
      </c>
      <c r="E957" t="s">
        <v>17</v>
      </c>
      <c r="F957" t="s">
        <v>18</v>
      </c>
      <c r="G957" t="s">
        <v>18</v>
      </c>
      <c r="H957" t="s">
        <v>18</v>
      </c>
      <c r="I957" t="s">
        <v>704</v>
      </c>
      <c r="J957">
        <v>20</v>
      </c>
      <c r="K957" t="s">
        <v>591</v>
      </c>
      <c r="L957" t="s">
        <v>36</v>
      </c>
      <c r="M957" t="str">
        <f t="shared" si="130"/>
        <v>Control</v>
      </c>
      <c r="N957" t="s">
        <v>578</v>
      </c>
      <c r="O957" t="str">
        <f t="shared" si="131"/>
        <v>Stress</v>
      </c>
      <c r="R957" t="s">
        <v>408</v>
      </c>
      <c r="S957" t="s">
        <v>701</v>
      </c>
      <c r="T957" t="s">
        <v>695</v>
      </c>
      <c r="U957" t="s">
        <v>610</v>
      </c>
      <c r="V957" s="1"/>
      <c r="W957" s="1"/>
      <c r="X957" s="1">
        <f>0.0000001751/3600</f>
        <v>4.8638888888888891E-11</v>
      </c>
      <c r="Y957" s="1"/>
      <c r="Z957" s="1"/>
      <c r="AA957" s="1"/>
      <c r="AC957" s="1"/>
      <c r="AD957" s="3"/>
      <c r="AF957" s="2"/>
      <c r="AG957" s="2"/>
      <c r="AK957" t="s">
        <v>348</v>
      </c>
    </row>
    <row r="958" spans="1:37" hidden="1" x14ac:dyDescent="0.25">
      <c r="A958" t="s">
        <v>332</v>
      </c>
      <c r="B958" t="s">
        <v>102</v>
      </c>
      <c r="C958" t="s">
        <v>75</v>
      </c>
      <c r="D958" t="s">
        <v>16</v>
      </c>
      <c r="E958" t="s">
        <v>17</v>
      </c>
      <c r="F958" t="s">
        <v>18</v>
      </c>
      <c r="G958" t="s">
        <v>18</v>
      </c>
      <c r="H958" t="s">
        <v>18</v>
      </c>
      <c r="I958" t="s">
        <v>704</v>
      </c>
      <c r="J958">
        <v>20</v>
      </c>
      <c r="K958" t="s">
        <v>591</v>
      </c>
      <c r="L958" t="s">
        <v>703</v>
      </c>
      <c r="M958" t="str">
        <f t="shared" si="130"/>
        <v>Stress</v>
      </c>
      <c r="N958" t="s">
        <v>36</v>
      </c>
      <c r="O958" t="str">
        <f t="shared" si="131"/>
        <v>Control</v>
      </c>
      <c r="R958" t="s">
        <v>408</v>
      </c>
      <c r="S958" t="s">
        <v>701</v>
      </c>
      <c r="T958" t="s">
        <v>695</v>
      </c>
      <c r="U958" t="s">
        <v>610</v>
      </c>
      <c r="V958" s="1"/>
      <c r="W958" s="1"/>
      <c r="X958" s="1">
        <f>0.0000002767/3600</f>
        <v>7.6861111111111108E-11</v>
      </c>
      <c r="Y958" s="1"/>
      <c r="Z958" s="1"/>
      <c r="AA958" s="1"/>
      <c r="AC958" s="1"/>
      <c r="AD958" s="3"/>
      <c r="AF958" s="2"/>
      <c r="AG958" s="2"/>
      <c r="AK958" t="s">
        <v>348</v>
      </c>
    </row>
    <row r="959" spans="1:37" hidden="1" x14ac:dyDescent="0.25">
      <c r="A959" t="s">
        <v>332</v>
      </c>
      <c r="B959" t="s">
        <v>102</v>
      </c>
      <c r="C959" t="s">
        <v>75</v>
      </c>
      <c r="D959" t="s">
        <v>16</v>
      </c>
      <c r="E959" t="s">
        <v>17</v>
      </c>
      <c r="F959" t="s">
        <v>18</v>
      </c>
      <c r="G959" t="s">
        <v>18</v>
      </c>
      <c r="H959" t="s">
        <v>18</v>
      </c>
      <c r="I959" t="s">
        <v>704</v>
      </c>
      <c r="J959">
        <v>20</v>
      </c>
      <c r="K959" t="s">
        <v>591</v>
      </c>
      <c r="L959" t="s">
        <v>703</v>
      </c>
      <c r="M959" t="str">
        <f t="shared" si="130"/>
        <v>Stress</v>
      </c>
      <c r="N959" t="s">
        <v>594</v>
      </c>
      <c r="O959" t="str">
        <f t="shared" si="131"/>
        <v>Stress</v>
      </c>
      <c r="R959" t="s">
        <v>408</v>
      </c>
      <c r="S959" t="s">
        <v>701</v>
      </c>
      <c r="T959" t="s">
        <v>695</v>
      </c>
      <c r="U959" t="s">
        <v>610</v>
      </c>
      <c r="V959" s="1"/>
      <c r="W959" s="1"/>
      <c r="X959" s="1">
        <f>0.00000008532/3600</f>
        <v>2.37E-11</v>
      </c>
      <c r="Y959" s="1"/>
      <c r="Z959" s="1"/>
      <c r="AA959" s="1"/>
      <c r="AC959" s="1"/>
      <c r="AD959" s="3"/>
      <c r="AF959" s="2"/>
      <c r="AG959" s="2"/>
      <c r="AK959" t="s">
        <v>348</v>
      </c>
    </row>
    <row r="960" spans="1:37" hidden="1" x14ac:dyDescent="0.25">
      <c r="A960" t="s">
        <v>332</v>
      </c>
      <c r="B960" t="s">
        <v>102</v>
      </c>
      <c r="C960" t="s">
        <v>75</v>
      </c>
      <c r="D960" t="s">
        <v>16</v>
      </c>
      <c r="E960" t="s">
        <v>17</v>
      </c>
      <c r="F960" t="s">
        <v>18</v>
      </c>
      <c r="G960" t="s">
        <v>18</v>
      </c>
      <c r="H960" t="s">
        <v>18</v>
      </c>
      <c r="I960" t="s">
        <v>704</v>
      </c>
      <c r="J960">
        <v>20</v>
      </c>
      <c r="K960" t="s">
        <v>591</v>
      </c>
      <c r="L960" t="s">
        <v>703</v>
      </c>
      <c r="M960" t="str">
        <f t="shared" si="130"/>
        <v>Stress</v>
      </c>
      <c r="N960" t="s">
        <v>578</v>
      </c>
      <c r="O960" t="str">
        <f t="shared" si="131"/>
        <v>Stress</v>
      </c>
      <c r="R960" t="s">
        <v>408</v>
      </c>
      <c r="S960" t="s">
        <v>701</v>
      </c>
      <c r="T960" t="s">
        <v>695</v>
      </c>
      <c r="U960" t="s">
        <v>610</v>
      </c>
      <c r="V960" s="1"/>
      <c r="W960" s="1"/>
      <c r="X960" s="1">
        <f>0.0000001983/3600</f>
        <v>5.5083333333333331E-11</v>
      </c>
      <c r="Y960" s="1"/>
      <c r="Z960" s="1"/>
      <c r="AA960" s="1"/>
      <c r="AC960" s="1"/>
      <c r="AD960" s="3"/>
      <c r="AF960" s="2"/>
      <c r="AG960" s="2"/>
      <c r="AK960" t="s">
        <v>348</v>
      </c>
    </row>
    <row r="961" spans="1:37" hidden="1" x14ac:dyDescent="0.25">
      <c r="A961" t="s">
        <v>386</v>
      </c>
      <c r="B961" t="s">
        <v>50</v>
      </c>
      <c r="C961" t="s">
        <v>51</v>
      </c>
      <c r="D961" t="s">
        <v>16</v>
      </c>
      <c r="E961" t="s">
        <v>29</v>
      </c>
      <c r="F961" t="s">
        <v>30</v>
      </c>
      <c r="G961" t="s">
        <v>30</v>
      </c>
      <c r="H961" t="s">
        <v>30</v>
      </c>
      <c r="I961" t="s">
        <v>704</v>
      </c>
      <c r="K961" t="s">
        <v>48</v>
      </c>
      <c r="L961" t="s">
        <v>36</v>
      </c>
      <c r="M961" t="str">
        <f t="shared" si="130"/>
        <v>Control</v>
      </c>
      <c r="R961" t="s">
        <v>408</v>
      </c>
      <c r="S961" t="s">
        <v>701</v>
      </c>
      <c r="T961" t="s">
        <v>695</v>
      </c>
      <c r="U961" t="s">
        <v>609</v>
      </c>
      <c r="V961" s="1" t="s">
        <v>774</v>
      </c>
      <c r="W961" s="1">
        <f>0.00000025/60</f>
        <v>4.1666666666666668E-9</v>
      </c>
      <c r="Y961" s="1"/>
      <c r="Z961" s="1"/>
      <c r="AA961" s="1"/>
      <c r="AF961" s="2"/>
      <c r="AG961" s="2"/>
      <c r="AK961" t="s">
        <v>199</v>
      </c>
    </row>
    <row r="962" spans="1:37" hidden="1" x14ac:dyDescent="0.25">
      <c r="A962" t="s">
        <v>386</v>
      </c>
      <c r="B962" t="s">
        <v>50</v>
      </c>
      <c r="C962" t="s">
        <v>51</v>
      </c>
      <c r="D962" t="s">
        <v>16</v>
      </c>
      <c r="E962" t="s">
        <v>29</v>
      </c>
      <c r="F962" t="s">
        <v>30</v>
      </c>
      <c r="G962" t="s">
        <v>30</v>
      </c>
      <c r="H962" t="s">
        <v>30</v>
      </c>
      <c r="I962" t="s">
        <v>704</v>
      </c>
      <c r="K962" t="s">
        <v>48</v>
      </c>
      <c r="L962" t="s">
        <v>76</v>
      </c>
      <c r="M962" t="str">
        <f t="shared" si="130"/>
        <v>Stress</v>
      </c>
      <c r="R962" t="s">
        <v>408</v>
      </c>
      <c r="S962" t="s">
        <v>701</v>
      </c>
      <c r="T962" t="s">
        <v>695</v>
      </c>
      <c r="U962" t="s">
        <v>609</v>
      </c>
      <c r="V962" s="1" t="s">
        <v>774</v>
      </c>
      <c r="W962" s="1">
        <f>0.00000035/60</f>
        <v>5.8333333333333335E-9</v>
      </c>
      <c r="Y962" s="1"/>
      <c r="Z962" s="1"/>
      <c r="AA962" s="1"/>
      <c r="AF962" s="2"/>
      <c r="AG962" s="2"/>
      <c r="AK962" t="s">
        <v>199</v>
      </c>
    </row>
    <row r="963" spans="1:37" hidden="1" x14ac:dyDescent="0.25">
      <c r="A963" t="s">
        <v>386</v>
      </c>
      <c r="B963" t="s">
        <v>50</v>
      </c>
      <c r="C963" t="s">
        <v>51</v>
      </c>
      <c r="D963" t="s">
        <v>16</v>
      </c>
      <c r="E963" t="s">
        <v>29</v>
      </c>
      <c r="F963" t="s">
        <v>30</v>
      </c>
      <c r="G963" t="s">
        <v>30</v>
      </c>
      <c r="H963" t="s">
        <v>30</v>
      </c>
      <c r="I963" t="s">
        <v>704</v>
      </c>
      <c r="K963" t="s">
        <v>48</v>
      </c>
      <c r="L963" t="s">
        <v>48</v>
      </c>
      <c r="M963" t="str">
        <f t="shared" si="130"/>
        <v>Stress</v>
      </c>
      <c r="R963" t="s">
        <v>408</v>
      </c>
      <c r="S963" t="s">
        <v>701</v>
      </c>
      <c r="T963" t="s">
        <v>695</v>
      </c>
      <c r="U963" t="s">
        <v>609</v>
      </c>
      <c r="V963" s="1" t="s">
        <v>774</v>
      </c>
      <c r="W963" s="1">
        <f>0.00000031/60</f>
        <v>5.1666666666666666E-9</v>
      </c>
      <c r="Y963" s="1"/>
      <c r="Z963" s="1"/>
      <c r="AA963" s="1"/>
      <c r="AF963" s="2"/>
      <c r="AG963" s="2"/>
      <c r="AK963" t="s">
        <v>199</v>
      </c>
    </row>
    <row r="964" spans="1:37" hidden="1" x14ac:dyDescent="0.25">
      <c r="A964" t="s">
        <v>192</v>
      </c>
      <c r="B964" t="s">
        <v>32</v>
      </c>
      <c r="C964" t="s">
        <v>33</v>
      </c>
      <c r="D964" t="s">
        <v>34</v>
      </c>
      <c r="E964" t="s">
        <v>17</v>
      </c>
      <c r="F964" t="s">
        <v>614</v>
      </c>
      <c r="G964" t="s">
        <v>614</v>
      </c>
      <c r="H964" t="s">
        <v>801</v>
      </c>
      <c r="I964" t="s">
        <v>804</v>
      </c>
      <c r="J964">
        <f>7*7</f>
        <v>49</v>
      </c>
      <c r="K964" t="s">
        <v>402</v>
      </c>
      <c r="L964" t="s">
        <v>36</v>
      </c>
      <c r="M964" t="str">
        <f t="shared" si="130"/>
        <v>Control</v>
      </c>
      <c r="R964" t="s">
        <v>408</v>
      </c>
      <c r="S964" t="s">
        <v>701</v>
      </c>
      <c r="T964" t="s">
        <v>695</v>
      </c>
      <c r="U964" t="s">
        <v>609</v>
      </c>
      <c r="V964" s="1"/>
      <c r="W964" s="1"/>
      <c r="X964" s="1"/>
      <c r="Y964" s="1"/>
      <c r="Z964" s="1"/>
      <c r="AA964" s="1"/>
      <c r="AB964" s="1">
        <v>4.6400000000000003E-7</v>
      </c>
      <c r="AD964" s="3"/>
      <c r="AF964" s="2"/>
      <c r="AG964" s="2"/>
      <c r="AH964" s="2">
        <v>0.2</v>
      </c>
      <c r="AK964" t="s">
        <v>199</v>
      </c>
    </row>
    <row r="965" spans="1:37" hidden="1" x14ac:dyDescent="0.25">
      <c r="A965" t="s">
        <v>192</v>
      </c>
      <c r="B965" t="s">
        <v>32</v>
      </c>
      <c r="C965" t="s">
        <v>33</v>
      </c>
      <c r="D965" t="s">
        <v>34</v>
      </c>
      <c r="E965" t="s">
        <v>17</v>
      </c>
      <c r="F965" t="s">
        <v>614</v>
      </c>
      <c r="G965" t="s">
        <v>614</v>
      </c>
      <c r="H965" t="s">
        <v>801</v>
      </c>
      <c r="I965" t="s">
        <v>804</v>
      </c>
      <c r="J965">
        <f>7*7</f>
        <v>49</v>
      </c>
      <c r="K965" t="s">
        <v>402</v>
      </c>
      <c r="L965" t="s">
        <v>703</v>
      </c>
      <c r="M965" t="str">
        <f t="shared" si="130"/>
        <v>Stress</v>
      </c>
      <c r="R965" t="s">
        <v>408</v>
      </c>
      <c r="S965" t="s">
        <v>701</v>
      </c>
      <c r="T965" t="s">
        <v>695</v>
      </c>
      <c r="U965" t="s">
        <v>609</v>
      </c>
      <c r="V965" s="1"/>
      <c r="W965" s="1"/>
      <c r="X965" s="1"/>
      <c r="Y965" s="1"/>
      <c r="Z965" s="1"/>
      <c r="AA965" s="1"/>
      <c r="AB965" s="1">
        <v>2.0100000000000001E-7</v>
      </c>
      <c r="AF965" s="2"/>
      <c r="AG965" s="2"/>
      <c r="AH965" s="2">
        <v>0.2</v>
      </c>
      <c r="AK965" t="s">
        <v>199</v>
      </c>
    </row>
    <row r="966" spans="1:37" hidden="1" x14ac:dyDescent="0.25">
      <c r="A966" t="s">
        <v>193</v>
      </c>
      <c r="B966" t="s">
        <v>194</v>
      </c>
      <c r="C966" t="s">
        <v>195</v>
      </c>
      <c r="D966" t="s">
        <v>196</v>
      </c>
      <c r="E966" t="s">
        <v>17</v>
      </c>
      <c r="F966" t="s">
        <v>197</v>
      </c>
      <c r="G966" t="s">
        <v>612</v>
      </c>
      <c r="H966" t="s">
        <v>761</v>
      </c>
      <c r="I966" t="s">
        <v>705</v>
      </c>
      <c r="J966">
        <f t="shared" ref="J966:J971" si="132">2*365</f>
        <v>730</v>
      </c>
      <c r="K966" t="s">
        <v>756</v>
      </c>
      <c r="L966" t="s">
        <v>756</v>
      </c>
      <c r="M966" t="s">
        <v>756</v>
      </c>
      <c r="R966" t="s">
        <v>407</v>
      </c>
      <c r="S966" t="s">
        <v>701</v>
      </c>
      <c r="T966" t="s">
        <v>695</v>
      </c>
      <c r="U966" t="s">
        <v>609</v>
      </c>
      <c r="V966" s="1" t="s">
        <v>733</v>
      </c>
      <c r="W966" s="1">
        <f t="shared" ref="W966:W971" si="133">+AB966*AD966/10000</f>
        <v>1.1400000000000001E-10</v>
      </c>
      <c r="X966" s="1"/>
      <c r="Y966" s="1"/>
      <c r="Z966" s="1"/>
      <c r="AA966" s="1"/>
      <c r="AB966" s="1">
        <v>1.9000000000000001E-8</v>
      </c>
      <c r="AC966" s="1"/>
      <c r="AD966" s="3">
        <v>60</v>
      </c>
      <c r="AF966" s="2"/>
      <c r="AG966" s="2"/>
      <c r="AK966" t="s">
        <v>198</v>
      </c>
    </row>
    <row r="967" spans="1:37" hidden="1" x14ac:dyDescent="0.25">
      <c r="A967" t="s">
        <v>193</v>
      </c>
      <c r="B967" t="s">
        <v>194</v>
      </c>
      <c r="C967" t="s">
        <v>195</v>
      </c>
      <c r="D967" t="s">
        <v>196</v>
      </c>
      <c r="E967" t="s">
        <v>17</v>
      </c>
      <c r="F967" t="s">
        <v>197</v>
      </c>
      <c r="G967" t="s">
        <v>612</v>
      </c>
      <c r="H967" t="s">
        <v>761</v>
      </c>
      <c r="I967" t="s">
        <v>705</v>
      </c>
      <c r="J967">
        <f t="shared" si="132"/>
        <v>730</v>
      </c>
      <c r="K967" t="s">
        <v>756</v>
      </c>
      <c r="L967" t="s">
        <v>756</v>
      </c>
      <c r="M967" t="s">
        <v>756</v>
      </c>
      <c r="R967" t="s">
        <v>408</v>
      </c>
      <c r="S967" t="s">
        <v>701</v>
      </c>
      <c r="T967" t="s">
        <v>695</v>
      </c>
      <c r="U967" t="s">
        <v>609</v>
      </c>
      <c r="V967" s="1" t="s">
        <v>733</v>
      </c>
      <c r="W967" s="1">
        <f t="shared" si="133"/>
        <v>1.0737320000000002E-9</v>
      </c>
      <c r="X967" s="1"/>
      <c r="Y967" s="1"/>
      <c r="Z967" s="1"/>
      <c r="AA967" s="1"/>
      <c r="AB967" s="1">
        <f>+AVERAGE(17,62,1.9,2.3,9.9,13)*0.00000001</f>
        <v>1.7683333333333335E-7</v>
      </c>
      <c r="AC967" s="1"/>
      <c r="AD967" s="3">
        <f>+AVERAGE(3.3,4.36,6.9,11.9,3.9)*10</f>
        <v>60.72</v>
      </c>
      <c r="AF967" s="2"/>
      <c r="AG967" s="2"/>
      <c r="AK967" t="s">
        <v>198</v>
      </c>
    </row>
    <row r="968" spans="1:37" hidden="1" x14ac:dyDescent="0.25">
      <c r="A968" t="s">
        <v>193</v>
      </c>
      <c r="B968" t="s">
        <v>194</v>
      </c>
      <c r="C968" t="s">
        <v>195</v>
      </c>
      <c r="D968" t="s">
        <v>196</v>
      </c>
      <c r="E968" t="s">
        <v>17</v>
      </c>
      <c r="F968" t="s">
        <v>197</v>
      </c>
      <c r="G968" t="s">
        <v>612</v>
      </c>
      <c r="H968" t="s">
        <v>761</v>
      </c>
      <c r="I968" t="s">
        <v>705</v>
      </c>
      <c r="J968">
        <f t="shared" si="132"/>
        <v>730</v>
      </c>
      <c r="K968" t="s">
        <v>756</v>
      </c>
      <c r="L968" t="s">
        <v>756</v>
      </c>
      <c r="M968" t="s">
        <v>756</v>
      </c>
      <c r="R968" t="s">
        <v>409</v>
      </c>
      <c r="S968" t="s">
        <v>701</v>
      </c>
      <c r="T968" t="s">
        <v>695</v>
      </c>
      <c r="U968" t="s">
        <v>609</v>
      </c>
      <c r="V968" s="1" t="s">
        <v>733</v>
      </c>
      <c r="W968" s="1">
        <f t="shared" si="133"/>
        <v>2.6659999999999997E-9</v>
      </c>
      <c r="X968" s="1"/>
      <c r="Y968" s="1"/>
      <c r="Z968" s="1"/>
      <c r="AA968" s="1"/>
      <c r="AB968" s="1">
        <v>6.1999999999999999E-7</v>
      </c>
      <c r="AC968" s="1"/>
      <c r="AD968" s="3">
        <v>43</v>
      </c>
      <c r="AF968" s="2"/>
      <c r="AG968" s="2"/>
      <c r="AK968" t="s">
        <v>198</v>
      </c>
    </row>
    <row r="969" spans="1:37" hidden="1" x14ac:dyDescent="0.25">
      <c r="A969" t="s">
        <v>193</v>
      </c>
      <c r="B969" t="s">
        <v>194</v>
      </c>
      <c r="C969" t="s">
        <v>195</v>
      </c>
      <c r="D969" t="s">
        <v>196</v>
      </c>
      <c r="E969" t="s">
        <v>17</v>
      </c>
      <c r="F969" t="s">
        <v>197</v>
      </c>
      <c r="G969" t="s">
        <v>612</v>
      </c>
      <c r="H969" t="s">
        <v>761</v>
      </c>
      <c r="I969" t="s">
        <v>705</v>
      </c>
      <c r="J969">
        <f t="shared" si="132"/>
        <v>730</v>
      </c>
      <c r="K969" t="s">
        <v>756</v>
      </c>
      <c r="L969" t="s">
        <v>756</v>
      </c>
      <c r="M969" t="s">
        <v>756</v>
      </c>
      <c r="R969" t="s">
        <v>407</v>
      </c>
      <c r="S969" t="s">
        <v>701</v>
      </c>
      <c r="T969" t="s">
        <v>695</v>
      </c>
      <c r="U969" t="s">
        <v>610</v>
      </c>
      <c r="V969" s="1" t="s">
        <v>733</v>
      </c>
      <c r="W969" s="1">
        <f t="shared" si="133"/>
        <v>1.68E-11</v>
      </c>
      <c r="X969" s="1"/>
      <c r="Y969" s="1"/>
      <c r="Z969" s="1"/>
      <c r="AA969" s="1"/>
      <c r="AB969" s="1">
        <v>2.7999999999999998E-9</v>
      </c>
      <c r="AC969" s="1"/>
      <c r="AD969" s="3">
        <v>60</v>
      </c>
      <c r="AF969" s="2"/>
      <c r="AG969" s="2"/>
      <c r="AK969" t="s">
        <v>199</v>
      </c>
    </row>
    <row r="970" spans="1:37" hidden="1" x14ac:dyDescent="0.25">
      <c r="A970" t="s">
        <v>193</v>
      </c>
      <c r="B970" t="s">
        <v>194</v>
      </c>
      <c r="C970" t="s">
        <v>195</v>
      </c>
      <c r="D970" t="s">
        <v>196</v>
      </c>
      <c r="E970" t="s">
        <v>17</v>
      </c>
      <c r="F970" t="s">
        <v>197</v>
      </c>
      <c r="G970" t="s">
        <v>612</v>
      </c>
      <c r="H970" t="s">
        <v>761</v>
      </c>
      <c r="I970" t="s">
        <v>705</v>
      </c>
      <c r="J970">
        <f t="shared" si="132"/>
        <v>730</v>
      </c>
      <c r="K970" t="s">
        <v>756</v>
      </c>
      <c r="L970" t="s">
        <v>756</v>
      </c>
      <c r="M970" t="s">
        <v>756</v>
      </c>
      <c r="R970" t="s">
        <v>408</v>
      </c>
      <c r="S970" t="s">
        <v>701</v>
      </c>
      <c r="T970" t="s">
        <v>695</v>
      </c>
      <c r="U970" t="s">
        <v>610</v>
      </c>
      <c r="V970" s="1" t="s">
        <v>733</v>
      </c>
      <c r="W970" s="1">
        <f t="shared" si="133"/>
        <v>1.0383400000000005E-10</v>
      </c>
      <c r="X970" s="1"/>
      <c r="Y970" s="1"/>
      <c r="Z970" s="1"/>
      <c r="AA970" s="1"/>
      <c r="AB970" s="1">
        <f>+AVERAGE(2.2,0.28,1.5,1.4)*0.00000001</f>
        <v>1.3450000000000003E-8</v>
      </c>
      <c r="AC970" s="1"/>
      <c r="AD970" s="3">
        <f>+AVERAGE(4.36,6.9,11.9)*10</f>
        <v>77.200000000000017</v>
      </c>
      <c r="AF970" s="2"/>
      <c r="AG970" s="2"/>
      <c r="AK970" t="s">
        <v>199</v>
      </c>
    </row>
    <row r="971" spans="1:37" hidden="1" x14ac:dyDescent="0.25">
      <c r="A971" t="s">
        <v>193</v>
      </c>
      <c r="B971" t="s">
        <v>194</v>
      </c>
      <c r="C971" t="s">
        <v>195</v>
      </c>
      <c r="D971" t="s">
        <v>196</v>
      </c>
      <c r="E971" t="s">
        <v>17</v>
      </c>
      <c r="F971" t="s">
        <v>197</v>
      </c>
      <c r="G971" t="s">
        <v>612</v>
      </c>
      <c r="H971" t="s">
        <v>761</v>
      </c>
      <c r="I971" t="s">
        <v>705</v>
      </c>
      <c r="J971">
        <f t="shared" si="132"/>
        <v>730</v>
      </c>
      <c r="K971" t="s">
        <v>756</v>
      </c>
      <c r="L971" t="s">
        <v>756</v>
      </c>
      <c r="M971" t="s">
        <v>756</v>
      </c>
      <c r="R971" t="s">
        <v>409</v>
      </c>
      <c r="S971" t="s">
        <v>701</v>
      </c>
      <c r="T971" t="s">
        <v>695</v>
      </c>
      <c r="U971" t="s">
        <v>610</v>
      </c>
      <c r="V971" s="1" t="s">
        <v>733</v>
      </c>
      <c r="W971" s="1">
        <f t="shared" si="133"/>
        <v>9.4599999999999989E-11</v>
      </c>
      <c r="X971" s="1"/>
      <c r="Y971" s="1"/>
      <c r="Z971" s="1"/>
      <c r="AA971" s="1"/>
      <c r="AB971" s="1">
        <v>2.1999999999999998E-8</v>
      </c>
      <c r="AC971" s="1"/>
      <c r="AD971" s="3">
        <v>43</v>
      </c>
      <c r="AF971" s="2"/>
      <c r="AG971" s="2"/>
      <c r="AK971" t="s">
        <v>199</v>
      </c>
    </row>
    <row r="972" spans="1:37" hidden="1" x14ac:dyDescent="0.25">
      <c r="A972" t="s">
        <v>200</v>
      </c>
      <c r="B972" t="s">
        <v>32</v>
      </c>
      <c r="C972" t="s">
        <v>33</v>
      </c>
      <c r="D972" t="s">
        <v>34</v>
      </c>
      <c r="E972" t="s">
        <v>17</v>
      </c>
      <c r="F972" t="s">
        <v>614</v>
      </c>
      <c r="G972" t="s">
        <v>614</v>
      </c>
      <c r="H972" t="s">
        <v>801</v>
      </c>
      <c r="I972" t="s">
        <v>804</v>
      </c>
      <c r="K972" t="s">
        <v>136</v>
      </c>
      <c r="L972" t="s">
        <v>36</v>
      </c>
      <c r="M972" t="str">
        <f t="shared" ref="M972:M977" si="134">+IF(L972 = "Control", "Control", "Stress")</f>
        <v>Control</v>
      </c>
      <c r="R972" t="s">
        <v>407</v>
      </c>
      <c r="S972" t="s">
        <v>701</v>
      </c>
      <c r="T972" t="s">
        <v>695</v>
      </c>
      <c r="U972" t="s">
        <v>609</v>
      </c>
      <c r="V972" s="1" t="s">
        <v>774</v>
      </c>
      <c r="W972" s="1">
        <f>[115]Else_etal_1995_Fig3!C10</f>
        <v>1.22532294832826E-8</v>
      </c>
      <c r="X972" s="1"/>
      <c r="Y972" s="1"/>
      <c r="Z972" s="1"/>
      <c r="AA972" s="1"/>
      <c r="AF972" s="2"/>
      <c r="AG972" s="2"/>
      <c r="AK972" t="s">
        <v>199</v>
      </c>
    </row>
    <row r="973" spans="1:37" hidden="1" x14ac:dyDescent="0.25">
      <c r="A973" t="s">
        <v>200</v>
      </c>
      <c r="B973" t="s">
        <v>32</v>
      </c>
      <c r="C973" t="s">
        <v>33</v>
      </c>
      <c r="D973" t="s">
        <v>34</v>
      </c>
      <c r="E973" t="s">
        <v>17</v>
      </c>
      <c r="F973" t="s">
        <v>614</v>
      </c>
      <c r="G973" t="s">
        <v>614</v>
      </c>
      <c r="H973" t="s">
        <v>801</v>
      </c>
      <c r="I973" t="s">
        <v>804</v>
      </c>
      <c r="K973" t="s">
        <v>136</v>
      </c>
      <c r="L973" t="s">
        <v>36</v>
      </c>
      <c r="M973" t="str">
        <f t="shared" si="134"/>
        <v>Control</v>
      </c>
      <c r="R973" t="s">
        <v>408</v>
      </c>
      <c r="S973" t="s">
        <v>701</v>
      </c>
      <c r="T973" t="s">
        <v>695</v>
      </c>
      <c r="U973" t="s">
        <v>609</v>
      </c>
      <c r="V973" s="1" t="s">
        <v>774</v>
      </c>
      <c r="W973" s="1">
        <f>[115]Else_etal_1995_Fig3!C11</f>
        <v>2.1334288938012293E-8</v>
      </c>
      <c r="X973" s="1"/>
      <c r="Y973" s="1"/>
      <c r="Z973" s="1"/>
      <c r="AA973" s="1"/>
      <c r="AF973" s="2"/>
      <c r="AG973" s="2"/>
      <c r="AK973" t="s">
        <v>199</v>
      </c>
    </row>
    <row r="974" spans="1:37" hidden="1" x14ac:dyDescent="0.25">
      <c r="A974" t="s">
        <v>200</v>
      </c>
      <c r="B974" t="s">
        <v>32</v>
      </c>
      <c r="C974" t="s">
        <v>33</v>
      </c>
      <c r="D974" t="s">
        <v>34</v>
      </c>
      <c r="E974" t="s">
        <v>17</v>
      </c>
      <c r="F974" t="s">
        <v>614</v>
      </c>
      <c r="G974" t="s">
        <v>614</v>
      </c>
      <c r="H974" t="s">
        <v>801</v>
      </c>
      <c r="I974" t="s">
        <v>804</v>
      </c>
      <c r="K974" t="s">
        <v>136</v>
      </c>
      <c r="L974" t="s">
        <v>36</v>
      </c>
      <c r="M974" t="str">
        <f t="shared" si="134"/>
        <v>Control</v>
      </c>
      <c r="R974" t="s">
        <v>409</v>
      </c>
      <c r="S974" t="s">
        <v>701</v>
      </c>
      <c r="T974" t="s">
        <v>695</v>
      </c>
      <c r="U974" t="s">
        <v>609</v>
      </c>
      <c r="V974" s="1" t="s">
        <v>774</v>
      </c>
      <c r="W974" s="1">
        <f>[115]Else_etal_1995_Fig3!C12</f>
        <v>2.7930851063829699E-8</v>
      </c>
      <c r="X974" s="1"/>
      <c r="Y974" s="1"/>
      <c r="Z974" s="1"/>
      <c r="AA974" s="1"/>
      <c r="AF974" s="2"/>
      <c r="AG974" s="2"/>
      <c r="AK974" t="s">
        <v>199</v>
      </c>
    </row>
    <row r="975" spans="1:37" hidden="1" x14ac:dyDescent="0.25">
      <c r="A975" t="s">
        <v>200</v>
      </c>
      <c r="B975" t="s">
        <v>32</v>
      </c>
      <c r="C975" t="s">
        <v>33</v>
      </c>
      <c r="D975" t="s">
        <v>34</v>
      </c>
      <c r="E975" t="s">
        <v>17</v>
      </c>
      <c r="F975" t="s">
        <v>614</v>
      </c>
      <c r="G975" t="s">
        <v>614</v>
      </c>
      <c r="H975" t="s">
        <v>801</v>
      </c>
      <c r="I975" t="s">
        <v>804</v>
      </c>
      <c r="K975" t="s">
        <v>136</v>
      </c>
      <c r="L975" t="s">
        <v>100</v>
      </c>
      <c r="M975" t="str">
        <f t="shared" si="134"/>
        <v>Stress</v>
      </c>
      <c r="R975" t="s">
        <v>407</v>
      </c>
      <c r="S975" t="s">
        <v>701</v>
      </c>
      <c r="T975" t="s">
        <v>695</v>
      </c>
      <c r="U975" t="s">
        <v>609</v>
      </c>
      <c r="V975" s="1" t="s">
        <v>774</v>
      </c>
      <c r="W975" s="1">
        <f>[115]Else_etal_1995_Fig3!C21</f>
        <v>1.2253292806484201E-8</v>
      </c>
      <c r="X975" s="1"/>
      <c r="Y975" s="1"/>
      <c r="Z975" s="1"/>
      <c r="AA975" s="1"/>
      <c r="AF975" s="2"/>
      <c r="AG975" s="2"/>
      <c r="AK975" t="s">
        <v>199</v>
      </c>
    </row>
    <row r="976" spans="1:37" hidden="1" x14ac:dyDescent="0.25">
      <c r="A976" t="s">
        <v>200</v>
      </c>
      <c r="B976" t="s">
        <v>32</v>
      </c>
      <c r="C976" t="s">
        <v>33</v>
      </c>
      <c r="D976" t="s">
        <v>34</v>
      </c>
      <c r="E976" t="s">
        <v>17</v>
      </c>
      <c r="F976" t="s">
        <v>614</v>
      </c>
      <c r="G976" t="s">
        <v>614</v>
      </c>
      <c r="H976" t="s">
        <v>801</v>
      </c>
      <c r="I976" t="s">
        <v>804</v>
      </c>
      <c r="K976" t="s">
        <v>136</v>
      </c>
      <c r="L976" t="s">
        <v>100</v>
      </c>
      <c r="M976" t="str">
        <f t="shared" si="134"/>
        <v>Stress</v>
      </c>
      <c r="R976" t="s">
        <v>408</v>
      </c>
      <c r="S976" t="s">
        <v>701</v>
      </c>
      <c r="T976" t="s">
        <v>695</v>
      </c>
      <c r="U976" t="s">
        <v>609</v>
      </c>
      <c r="V976" s="1" t="s">
        <v>774</v>
      </c>
      <c r="W976" s="1">
        <f>[115]Else_etal_1995_Fig3!C22</f>
        <v>1.9709323477940437E-8</v>
      </c>
      <c r="X976" s="1"/>
      <c r="Y976" s="1"/>
      <c r="Z976" s="1"/>
      <c r="AA976" s="1"/>
      <c r="AF976" s="2"/>
      <c r="AG976" s="2"/>
      <c r="AK976" t="s">
        <v>199</v>
      </c>
    </row>
    <row r="977" spans="1:37" hidden="1" x14ac:dyDescent="0.25">
      <c r="A977" t="s">
        <v>200</v>
      </c>
      <c r="B977" t="s">
        <v>32</v>
      </c>
      <c r="C977" t="s">
        <v>33</v>
      </c>
      <c r="D977" t="s">
        <v>34</v>
      </c>
      <c r="E977" t="s">
        <v>17</v>
      </c>
      <c r="F977" t="s">
        <v>614</v>
      </c>
      <c r="G977" t="s">
        <v>614</v>
      </c>
      <c r="H977" t="s">
        <v>801</v>
      </c>
      <c r="I977" t="s">
        <v>804</v>
      </c>
      <c r="K977" t="s">
        <v>136</v>
      </c>
      <c r="L977" t="s">
        <v>100</v>
      </c>
      <c r="M977" t="str">
        <f t="shared" si="134"/>
        <v>Stress</v>
      </c>
      <c r="R977" t="s">
        <v>409</v>
      </c>
      <c r="S977" t="s">
        <v>701</v>
      </c>
      <c r="T977" t="s">
        <v>695</v>
      </c>
      <c r="U977" t="s">
        <v>609</v>
      </c>
      <c r="V977" s="1" t="s">
        <v>774</v>
      </c>
      <c r="W977" s="1">
        <f>[115]Else_etal_1995_Fig3!C23</f>
        <v>3.0500000000000002E-8</v>
      </c>
      <c r="X977" s="1"/>
      <c r="Y977" s="1"/>
      <c r="Z977" s="1"/>
      <c r="AA977" s="1"/>
      <c r="AF977" s="2"/>
      <c r="AG977" s="2"/>
      <c r="AK977" t="s">
        <v>199</v>
      </c>
    </row>
    <row r="978" spans="1:37" hidden="1" x14ac:dyDescent="0.25">
      <c r="A978" t="s">
        <v>389</v>
      </c>
      <c r="B978" t="s">
        <v>194</v>
      </c>
      <c r="C978" t="s">
        <v>195</v>
      </c>
      <c r="D978" t="s">
        <v>196</v>
      </c>
      <c r="E978" t="s">
        <v>17</v>
      </c>
      <c r="F978" t="s">
        <v>197</v>
      </c>
      <c r="G978" t="s">
        <v>612</v>
      </c>
      <c r="H978" t="s">
        <v>761</v>
      </c>
      <c r="I978" t="s">
        <v>705</v>
      </c>
      <c r="J978">
        <f t="shared" ref="J978:J985" si="135">2*365</f>
        <v>730</v>
      </c>
      <c r="K978" t="s">
        <v>756</v>
      </c>
      <c r="L978" t="s">
        <v>756</v>
      </c>
      <c r="M978" t="s">
        <v>756</v>
      </c>
      <c r="R978" t="s">
        <v>408</v>
      </c>
      <c r="S978" t="s">
        <v>701</v>
      </c>
      <c r="T978" t="s">
        <v>695</v>
      </c>
      <c r="U978" t="s">
        <v>609</v>
      </c>
      <c r="V978" s="1" t="s">
        <v>733</v>
      </c>
      <c r="W978" s="1">
        <f t="shared" ref="W978:W983" si="136">+AB978*AD978/10000</f>
        <v>5.3039999999999995E-10</v>
      </c>
      <c r="X978" s="1"/>
      <c r="Y978" s="1"/>
      <c r="Z978" s="1"/>
      <c r="AA978" s="1"/>
      <c r="AB978" s="1">
        <v>7.7999999999999997E-8</v>
      </c>
      <c r="AD978">
        <v>68</v>
      </c>
      <c r="AF978" s="2"/>
      <c r="AG978" s="2"/>
      <c r="AK978" t="s">
        <v>198</v>
      </c>
    </row>
    <row r="979" spans="1:37" hidden="1" x14ac:dyDescent="0.25">
      <c r="A979" t="s">
        <v>389</v>
      </c>
      <c r="B979" t="s">
        <v>194</v>
      </c>
      <c r="C979" t="s">
        <v>195</v>
      </c>
      <c r="D979" t="s">
        <v>196</v>
      </c>
      <c r="E979" t="s">
        <v>17</v>
      </c>
      <c r="F979" t="s">
        <v>197</v>
      </c>
      <c r="G979" t="s">
        <v>612</v>
      </c>
      <c r="H979" t="s">
        <v>761</v>
      </c>
      <c r="I979" t="s">
        <v>705</v>
      </c>
      <c r="J979">
        <f t="shared" si="135"/>
        <v>730</v>
      </c>
      <c r="K979" t="s">
        <v>756</v>
      </c>
      <c r="L979" t="s">
        <v>756</v>
      </c>
      <c r="M979" t="s">
        <v>756</v>
      </c>
      <c r="R979" t="s">
        <v>408</v>
      </c>
      <c r="S979" t="s">
        <v>701</v>
      </c>
      <c r="T979" t="s">
        <v>695</v>
      </c>
      <c r="U979" t="s">
        <v>609</v>
      </c>
      <c r="V979" s="1" t="s">
        <v>733</v>
      </c>
      <c r="W979" s="1">
        <f t="shared" si="136"/>
        <v>8.9670000000000012E-10</v>
      </c>
      <c r="X979" s="1"/>
      <c r="Y979" s="1"/>
      <c r="Z979" s="1"/>
      <c r="AA979" s="1"/>
      <c r="AB979" s="1">
        <v>4.9000000000000002E-8</v>
      </c>
      <c r="AD979">
        <v>183</v>
      </c>
      <c r="AF979" s="2"/>
      <c r="AG979" s="2"/>
      <c r="AK979" t="s">
        <v>198</v>
      </c>
    </row>
    <row r="980" spans="1:37" hidden="1" x14ac:dyDescent="0.25">
      <c r="A980" t="s">
        <v>389</v>
      </c>
      <c r="B980" t="s">
        <v>194</v>
      </c>
      <c r="C980" t="s">
        <v>195</v>
      </c>
      <c r="D980" t="s">
        <v>196</v>
      </c>
      <c r="E980" t="s">
        <v>17</v>
      </c>
      <c r="F980" t="s">
        <v>197</v>
      </c>
      <c r="G980" t="s">
        <v>612</v>
      </c>
      <c r="H980" t="s">
        <v>761</v>
      </c>
      <c r="I980" t="s">
        <v>705</v>
      </c>
      <c r="J980">
        <f t="shared" si="135"/>
        <v>730</v>
      </c>
      <c r="K980" t="s">
        <v>756</v>
      </c>
      <c r="L980" t="s">
        <v>756</v>
      </c>
      <c r="M980" t="s">
        <v>756</v>
      </c>
      <c r="R980" t="s">
        <v>408</v>
      </c>
      <c r="S980" t="s">
        <v>701</v>
      </c>
      <c r="T980" t="s">
        <v>695</v>
      </c>
      <c r="U980" t="s">
        <v>609</v>
      </c>
      <c r="V980" s="1" t="s">
        <v>733</v>
      </c>
      <c r="W980" s="1">
        <f t="shared" si="136"/>
        <v>2.1079999999999999E-10</v>
      </c>
      <c r="X980" s="1"/>
      <c r="Y980" s="1"/>
      <c r="Z980" s="1"/>
      <c r="AA980" s="1"/>
      <c r="AB980" s="1">
        <v>3.1E-8</v>
      </c>
      <c r="AD980">
        <v>68</v>
      </c>
      <c r="AF980" s="2"/>
      <c r="AG980" s="2"/>
      <c r="AK980" t="s">
        <v>199</v>
      </c>
    </row>
    <row r="981" spans="1:37" hidden="1" x14ac:dyDescent="0.25">
      <c r="A981" t="s">
        <v>389</v>
      </c>
      <c r="B981" t="s">
        <v>194</v>
      </c>
      <c r="C981" t="s">
        <v>195</v>
      </c>
      <c r="D981" t="s">
        <v>196</v>
      </c>
      <c r="E981" t="s">
        <v>17</v>
      </c>
      <c r="F981" t="s">
        <v>197</v>
      </c>
      <c r="G981" t="s">
        <v>612</v>
      </c>
      <c r="H981" t="s">
        <v>761</v>
      </c>
      <c r="I981" t="s">
        <v>705</v>
      </c>
      <c r="J981">
        <f t="shared" si="135"/>
        <v>730</v>
      </c>
      <c r="K981" t="s">
        <v>756</v>
      </c>
      <c r="L981" t="s">
        <v>756</v>
      </c>
      <c r="M981" t="s">
        <v>756</v>
      </c>
      <c r="R981" t="s">
        <v>408</v>
      </c>
      <c r="S981" t="s">
        <v>701</v>
      </c>
      <c r="T981" t="s">
        <v>695</v>
      </c>
      <c r="U981" t="s">
        <v>609</v>
      </c>
      <c r="V981" s="1" t="s">
        <v>733</v>
      </c>
      <c r="W981" s="1">
        <f t="shared" si="136"/>
        <v>3.8480000000000006E-11</v>
      </c>
      <c r="X981" s="1"/>
      <c r="Y981" s="1"/>
      <c r="Z981" s="1"/>
      <c r="AA981" s="1"/>
      <c r="AB981" s="1">
        <v>1.3000000000000001E-8</v>
      </c>
      <c r="AD981">
        <v>29.6</v>
      </c>
      <c r="AF981" s="2"/>
      <c r="AG981" s="2"/>
      <c r="AK981" t="s">
        <v>199</v>
      </c>
    </row>
    <row r="982" spans="1:37" hidden="1" x14ac:dyDescent="0.25">
      <c r="A982" t="s">
        <v>389</v>
      </c>
      <c r="B982" t="s">
        <v>194</v>
      </c>
      <c r="C982" t="s">
        <v>195</v>
      </c>
      <c r="D982" t="s">
        <v>196</v>
      </c>
      <c r="E982" t="s">
        <v>17</v>
      </c>
      <c r="F982" t="s">
        <v>197</v>
      </c>
      <c r="G982" t="s">
        <v>612</v>
      </c>
      <c r="H982" t="s">
        <v>761</v>
      </c>
      <c r="I982" t="s">
        <v>705</v>
      </c>
      <c r="J982">
        <f t="shared" si="135"/>
        <v>730</v>
      </c>
      <c r="K982" t="s">
        <v>756</v>
      </c>
      <c r="L982" t="s">
        <v>756</v>
      </c>
      <c r="M982" t="s">
        <v>756</v>
      </c>
      <c r="R982" t="s">
        <v>408</v>
      </c>
      <c r="S982" t="s">
        <v>701</v>
      </c>
      <c r="T982" t="s">
        <v>695</v>
      </c>
      <c r="U982" t="s">
        <v>609</v>
      </c>
      <c r="V982" s="1" t="s">
        <v>733</v>
      </c>
      <c r="W982" s="1">
        <f t="shared" si="136"/>
        <v>2.72E-11</v>
      </c>
      <c r="X982" s="1"/>
      <c r="Y982" s="1"/>
      <c r="Z982" s="1"/>
      <c r="AA982" s="1"/>
      <c r="AB982" s="1">
        <v>4.0000000000000002E-9</v>
      </c>
      <c r="AD982">
        <v>68</v>
      </c>
      <c r="AF982" s="2"/>
      <c r="AG982" s="2"/>
      <c r="AK982" t="s">
        <v>199</v>
      </c>
    </row>
    <row r="983" spans="1:37" hidden="1" x14ac:dyDescent="0.25">
      <c r="A983" t="s">
        <v>389</v>
      </c>
      <c r="B983" t="s">
        <v>194</v>
      </c>
      <c r="C983" t="s">
        <v>195</v>
      </c>
      <c r="D983" t="s">
        <v>196</v>
      </c>
      <c r="E983" t="s">
        <v>17</v>
      </c>
      <c r="F983" t="s">
        <v>197</v>
      </c>
      <c r="G983" t="s">
        <v>612</v>
      </c>
      <c r="H983" t="s">
        <v>761</v>
      </c>
      <c r="I983" t="s">
        <v>705</v>
      </c>
      <c r="J983">
        <f t="shared" si="135"/>
        <v>730</v>
      </c>
      <c r="K983" t="s">
        <v>756</v>
      </c>
      <c r="L983" t="s">
        <v>756</v>
      </c>
      <c r="M983" t="s">
        <v>756</v>
      </c>
      <c r="R983" t="s">
        <v>408</v>
      </c>
      <c r="S983" t="s">
        <v>701</v>
      </c>
      <c r="T983" t="s">
        <v>695</v>
      </c>
      <c r="U983" t="s">
        <v>609</v>
      </c>
      <c r="V983" s="1" t="s">
        <v>733</v>
      </c>
      <c r="W983" s="1">
        <f t="shared" si="136"/>
        <v>2.6048000000000002E-11</v>
      </c>
      <c r="X983" s="1"/>
      <c r="Y983" s="1"/>
      <c r="Z983" s="1"/>
      <c r="AA983" s="1"/>
      <c r="AB983" s="1">
        <v>8.7999999999999994E-9</v>
      </c>
      <c r="AD983">
        <v>29.6</v>
      </c>
      <c r="AF983" s="2"/>
      <c r="AG983" s="2"/>
      <c r="AK983" t="s">
        <v>199</v>
      </c>
    </row>
    <row r="984" spans="1:37" hidden="1" x14ac:dyDescent="0.25">
      <c r="A984" t="s">
        <v>389</v>
      </c>
      <c r="B984" t="s">
        <v>194</v>
      </c>
      <c r="C984" t="s">
        <v>195</v>
      </c>
      <c r="D984" t="s">
        <v>196</v>
      </c>
      <c r="E984" t="s">
        <v>17</v>
      </c>
      <c r="F984" t="s">
        <v>197</v>
      </c>
      <c r="G984" t="s">
        <v>612</v>
      </c>
      <c r="H984" t="s">
        <v>761</v>
      </c>
      <c r="I984" t="s">
        <v>705</v>
      </c>
      <c r="J984">
        <f t="shared" si="135"/>
        <v>730</v>
      </c>
      <c r="K984" t="s">
        <v>756</v>
      </c>
      <c r="L984" t="s">
        <v>756</v>
      </c>
      <c r="M984" t="s">
        <v>756</v>
      </c>
      <c r="R984" t="s">
        <v>408</v>
      </c>
      <c r="S984" t="s">
        <v>701</v>
      </c>
      <c r="T984" t="s">
        <v>695</v>
      </c>
      <c r="U984" t="s">
        <v>610</v>
      </c>
      <c r="V984" s="1"/>
      <c r="W984" s="1"/>
      <c r="X984" s="1"/>
      <c r="Y984" s="1"/>
      <c r="Z984" s="1"/>
      <c r="AA984" s="1"/>
      <c r="AB984" s="1">
        <f>+AVERAGE(0.016,0.017,0.02,0.015)*0.00000001</f>
        <v>1.7000000000000001E-10</v>
      </c>
      <c r="AF984" s="2"/>
      <c r="AG984" s="2"/>
      <c r="AK984" t="s">
        <v>199</v>
      </c>
    </row>
    <row r="985" spans="1:37" hidden="1" x14ac:dyDescent="0.25">
      <c r="A985" t="s">
        <v>389</v>
      </c>
      <c r="B985" t="s">
        <v>194</v>
      </c>
      <c r="C985" t="s">
        <v>195</v>
      </c>
      <c r="D985" t="s">
        <v>196</v>
      </c>
      <c r="E985" t="s">
        <v>17</v>
      </c>
      <c r="F985" t="s">
        <v>197</v>
      </c>
      <c r="G985" t="s">
        <v>612</v>
      </c>
      <c r="H985" t="s">
        <v>761</v>
      </c>
      <c r="I985" t="s">
        <v>705</v>
      </c>
      <c r="J985">
        <f t="shared" si="135"/>
        <v>730</v>
      </c>
      <c r="K985" t="s">
        <v>756</v>
      </c>
      <c r="L985" t="s">
        <v>756</v>
      </c>
      <c r="M985" t="s">
        <v>756</v>
      </c>
      <c r="R985" t="s">
        <v>408</v>
      </c>
      <c r="S985" t="s">
        <v>701</v>
      </c>
      <c r="T985" t="s">
        <v>695</v>
      </c>
      <c r="U985" t="s">
        <v>610</v>
      </c>
      <c r="V985" s="1"/>
      <c r="W985" s="1"/>
      <c r="X985" s="1"/>
      <c r="Y985" s="1"/>
      <c r="Z985" s="1"/>
      <c r="AA985" s="1"/>
      <c r="AB985" s="1">
        <f>+AVERAGE(0.004,0.008,0.026,0.011)*0.00000001</f>
        <v>1.2250000000000002E-10</v>
      </c>
      <c r="AF985" s="2"/>
      <c r="AG985" s="2"/>
      <c r="AK985" t="s">
        <v>199</v>
      </c>
    </row>
    <row r="986" spans="1:37" hidden="1" x14ac:dyDescent="0.25">
      <c r="A986" t="s">
        <v>333</v>
      </c>
      <c r="B986" t="s">
        <v>358</v>
      </c>
      <c r="C986" t="s">
        <v>359</v>
      </c>
      <c r="D986" t="s">
        <v>16</v>
      </c>
      <c r="E986" t="s">
        <v>29</v>
      </c>
      <c r="F986" t="s">
        <v>30</v>
      </c>
      <c r="G986" t="s">
        <v>30</v>
      </c>
      <c r="H986" t="s">
        <v>30</v>
      </c>
      <c r="I986" t="s">
        <v>704</v>
      </c>
      <c r="J986">
        <f>1*30</f>
        <v>30</v>
      </c>
      <c r="K986" t="s">
        <v>744</v>
      </c>
      <c r="L986" t="s">
        <v>452</v>
      </c>
      <c r="M986" t="s">
        <v>707</v>
      </c>
      <c r="R986" t="s">
        <v>408</v>
      </c>
      <c r="S986" t="s">
        <v>701</v>
      </c>
      <c r="T986" t="s">
        <v>695</v>
      </c>
      <c r="U986" t="s">
        <v>609</v>
      </c>
      <c r="V986" s="1" t="s">
        <v>733</v>
      </c>
      <c r="W986" s="1">
        <f t="shared" ref="W986:W987" si="137">+AC986*AI986</f>
        <v>9.8027999999999983E-8</v>
      </c>
      <c r="X986" s="1"/>
      <c r="Y986" s="1"/>
      <c r="Z986" s="1"/>
      <c r="AA986" s="1"/>
      <c r="AC986" s="1">
        <f>0.00000000778*18</f>
        <v>1.4003999999999998E-7</v>
      </c>
      <c r="AF986" s="2"/>
      <c r="AG986" s="2"/>
      <c r="AI986" s="5">
        <v>0.7</v>
      </c>
      <c r="AK986" t="s">
        <v>199</v>
      </c>
    </row>
    <row r="987" spans="1:37" hidden="1" x14ac:dyDescent="0.25">
      <c r="A987" t="s">
        <v>333</v>
      </c>
      <c r="B987" t="s">
        <v>358</v>
      </c>
      <c r="C987" t="s">
        <v>359</v>
      </c>
      <c r="D987" t="s">
        <v>16</v>
      </c>
      <c r="E987" t="s">
        <v>29</v>
      </c>
      <c r="F987" t="s">
        <v>30</v>
      </c>
      <c r="G987" t="s">
        <v>30</v>
      </c>
      <c r="H987" t="s">
        <v>30</v>
      </c>
      <c r="I987" t="s">
        <v>704</v>
      </c>
      <c r="J987">
        <v>30</v>
      </c>
      <c r="K987" t="s">
        <v>744</v>
      </c>
      <c r="L987" t="s">
        <v>453</v>
      </c>
      <c r="M987" t="s">
        <v>707</v>
      </c>
      <c r="R987" t="s">
        <v>408</v>
      </c>
      <c r="S987" t="s">
        <v>701</v>
      </c>
      <c r="T987" t="s">
        <v>695</v>
      </c>
      <c r="U987" t="s">
        <v>609</v>
      </c>
      <c r="V987" s="1" t="s">
        <v>733</v>
      </c>
      <c r="W987" s="1">
        <f t="shared" si="137"/>
        <v>4.5863999999999993E-8</v>
      </c>
      <c r="X987" s="1"/>
      <c r="Y987" s="1"/>
      <c r="Z987" s="1"/>
      <c r="AA987" s="1"/>
      <c r="AC987">
        <f>0.00000000364*18</f>
        <v>6.5519999999999994E-8</v>
      </c>
      <c r="AF987" s="2"/>
      <c r="AG987" s="2"/>
      <c r="AI987" s="5">
        <v>0.7</v>
      </c>
      <c r="AK987" t="s">
        <v>199</v>
      </c>
    </row>
    <row r="988" spans="1:37" hidden="1" x14ac:dyDescent="0.25">
      <c r="A988" t="s">
        <v>201</v>
      </c>
      <c r="B988" t="s">
        <v>202</v>
      </c>
      <c r="C988" t="s">
        <v>186</v>
      </c>
      <c r="D988" t="s">
        <v>187</v>
      </c>
      <c r="E988" t="s">
        <v>17</v>
      </c>
      <c r="F988" t="s">
        <v>613</v>
      </c>
      <c r="G988" t="s">
        <v>613</v>
      </c>
      <c r="H988" t="s">
        <v>613</v>
      </c>
      <c r="I988" t="s">
        <v>804</v>
      </c>
      <c r="J988">
        <v>36</v>
      </c>
      <c r="K988" t="s">
        <v>91</v>
      </c>
      <c r="L988" t="s">
        <v>496</v>
      </c>
      <c r="M988" t="str">
        <f t="shared" ref="M988:M1003" si="138">+IF(L988 = "Control", "Control", "Stress")</f>
        <v>Stress</v>
      </c>
      <c r="R988" t="s">
        <v>408</v>
      </c>
      <c r="S988" t="s">
        <v>701</v>
      </c>
      <c r="T988" t="s">
        <v>695</v>
      </c>
      <c r="U988" t="s">
        <v>609</v>
      </c>
      <c r="V988" s="1" t="s">
        <v>733</v>
      </c>
      <c r="W988" s="1">
        <f>+Z988*AE988/100</f>
        <v>4.7853139545929174E-9</v>
      </c>
      <c r="X988" s="1"/>
      <c r="Y988" s="1"/>
      <c r="Z988" s="1">
        <f>[116]Bolger_etal_1992_Fig2!B2</f>
        <v>4.7544409613375101E-11</v>
      </c>
      <c r="AA988" s="1"/>
      <c r="AE988" s="3">
        <f>[117]Bolger_etal_1992_Fig6!$B$2*100</f>
        <v>10064.935064935</v>
      </c>
      <c r="AF988" s="2"/>
      <c r="AG988" s="2"/>
      <c r="AK988" t="s">
        <v>199</v>
      </c>
    </row>
    <row r="989" spans="1:37" hidden="1" x14ac:dyDescent="0.25">
      <c r="A989" t="s">
        <v>201</v>
      </c>
      <c r="B989" t="s">
        <v>202</v>
      </c>
      <c r="C989" t="s">
        <v>186</v>
      </c>
      <c r="D989" t="s">
        <v>187</v>
      </c>
      <c r="E989" t="s">
        <v>17</v>
      </c>
      <c r="F989" t="s">
        <v>613</v>
      </c>
      <c r="G989" t="s">
        <v>613</v>
      </c>
      <c r="H989" t="s">
        <v>613</v>
      </c>
      <c r="I989" t="s">
        <v>804</v>
      </c>
      <c r="J989">
        <v>36</v>
      </c>
      <c r="K989" t="s">
        <v>91</v>
      </c>
      <c r="L989" t="s">
        <v>496</v>
      </c>
      <c r="M989" t="str">
        <f t="shared" si="138"/>
        <v>Stress</v>
      </c>
      <c r="R989" t="s">
        <v>408</v>
      </c>
      <c r="S989" t="s">
        <v>701</v>
      </c>
      <c r="T989" t="s">
        <v>695</v>
      </c>
      <c r="U989" t="s">
        <v>609</v>
      </c>
      <c r="V989" s="1" t="s">
        <v>733</v>
      </c>
      <c r="W989" s="1">
        <f t="shared" ref="W989:W995" si="139">+Z989*AE989/100</f>
        <v>5.8370313072507042E-9</v>
      </c>
      <c r="X989" s="1"/>
      <c r="Y989" s="1"/>
      <c r="Z989" s="1">
        <f>[116]Bolger_etal_1992_Fig2!B3</f>
        <v>5.7993730407523498E-11</v>
      </c>
      <c r="AA989" s="1"/>
      <c r="AE989" s="3">
        <f>[117]Bolger_etal_1992_Fig6!$B$2*100</f>
        <v>10064.935064935</v>
      </c>
      <c r="AF989" s="2"/>
      <c r="AG989" s="2"/>
      <c r="AK989" t="s">
        <v>199</v>
      </c>
    </row>
    <row r="990" spans="1:37" hidden="1" x14ac:dyDescent="0.25">
      <c r="A990" t="s">
        <v>201</v>
      </c>
      <c r="B990" t="s">
        <v>202</v>
      </c>
      <c r="C990" t="s">
        <v>186</v>
      </c>
      <c r="D990" t="s">
        <v>187</v>
      </c>
      <c r="E990" t="s">
        <v>17</v>
      </c>
      <c r="F990" t="s">
        <v>613</v>
      </c>
      <c r="G990" t="s">
        <v>613</v>
      </c>
      <c r="H990" t="s">
        <v>613</v>
      </c>
      <c r="I990" t="s">
        <v>804</v>
      </c>
      <c r="J990">
        <v>36</v>
      </c>
      <c r="K990" t="s">
        <v>91</v>
      </c>
      <c r="L990" t="s">
        <v>496</v>
      </c>
      <c r="M990" t="str">
        <f t="shared" si="138"/>
        <v>Stress</v>
      </c>
      <c r="R990" t="s">
        <v>408</v>
      </c>
      <c r="S990" t="s">
        <v>701</v>
      </c>
      <c r="T990" t="s">
        <v>695</v>
      </c>
      <c r="U990" t="s">
        <v>609</v>
      </c>
      <c r="V990" s="1" t="s">
        <v>733</v>
      </c>
      <c r="W990" s="1">
        <f t="shared" si="139"/>
        <v>7.6775366744018212E-9</v>
      </c>
      <c r="X990" s="1"/>
      <c r="Y990" s="1"/>
      <c r="Z990" s="1">
        <f>[116]Bolger_etal_1992_Fig2!B4</f>
        <v>7.6280041797283098E-11</v>
      </c>
      <c r="AA990" s="1"/>
      <c r="AE990" s="3">
        <f>[117]Bolger_etal_1992_Fig6!$B$2*100</f>
        <v>10064.935064935</v>
      </c>
      <c r="AF990" s="2"/>
      <c r="AG990" s="2"/>
      <c r="AK990" t="s">
        <v>199</v>
      </c>
    </row>
    <row r="991" spans="1:37" hidden="1" x14ac:dyDescent="0.25">
      <c r="A991" t="s">
        <v>201</v>
      </c>
      <c r="B991" t="s">
        <v>202</v>
      </c>
      <c r="C991" t="s">
        <v>186</v>
      </c>
      <c r="D991" t="s">
        <v>187</v>
      </c>
      <c r="E991" t="s">
        <v>17</v>
      </c>
      <c r="F991" t="s">
        <v>613</v>
      </c>
      <c r="G991" t="s">
        <v>613</v>
      </c>
      <c r="H991" t="s">
        <v>613</v>
      </c>
      <c r="I991" t="s">
        <v>804</v>
      </c>
      <c r="J991">
        <v>36</v>
      </c>
      <c r="K991" t="s">
        <v>91</v>
      </c>
      <c r="L991" t="s">
        <v>496</v>
      </c>
      <c r="M991" t="str">
        <f t="shared" si="138"/>
        <v>Stress</v>
      </c>
      <c r="R991" t="s">
        <v>408</v>
      </c>
      <c r="S991" t="s">
        <v>701</v>
      </c>
      <c r="T991" t="s">
        <v>695</v>
      </c>
      <c r="U991" t="s">
        <v>609</v>
      </c>
      <c r="V991" s="1" t="s">
        <v>733</v>
      </c>
      <c r="W991" s="1">
        <f t="shared" si="139"/>
        <v>9.6933282669959121E-9</v>
      </c>
      <c r="X991" s="1"/>
      <c r="Y991" s="1"/>
      <c r="Z991" s="1">
        <f>[116]Bolger_etal_1992_Fig2!B5</f>
        <v>9.63079066527342E-11</v>
      </c>
      <c r="AA991" s="1"/>
      <c r="AE991" s="3">
        <f>[117]Bolger_etal_1992_Fig6!$B$2*100</f>
        <v>10064.935064935</v>
      </c>
      <c r="AF991" s="2"/>
      <c r="AG991" s="2"/>
      <c r="AK991" t="s">
        <v>199</v>
      </c>
    </row>
    <row r="992" spans="1:37" hidden="1" x14ac:dyDescent="0.25">
      <c r="A992" t="s">
        <v>201</v>
      </c>
      <c r="B992" t="s">
        <v>202</v>
      </c>
      <c r="C992" t="s">
        <v>186</v>
      </c>
      <c r="D992" t="s">
        <v>187</v>
      </c>
      <c r="E992" t="s">
        <v>17</v>
      </c>
      <c r="F992" t="s">
        <v>613</v>
      </c>
      <c r="G992" t="s">
        <v>613</v>
      </c>
      <c r="H992" t="s">
        <v>613</v>
      </c>
      <c r="I992" t="s">
        <v>804</v>
      </c>
      <c r="J992">
        <v>36</v>
      </c>
      <c r="K992" t="s">
        <v>91</v>
      </c>
      <c r="L992" t="s">
        <v>496</v>
      </c>
      <c r="M992" t="str">
        <f t="shared" si="138"/>
        <v>Stress</v>
      </c>
      <c r="R992" t="s">
        <v>408</v>
      </c>
      <c r="S992" t="s">
        <v>701</v>
      </c>
      <c r="T992" t="s">
        <v>695</v>
      </c>
      <c r="U992" t="s">
        <v>609</v>
      </c>
      <c r="V992" s="1" t="s">
        <v>733</v>
      </c>
      <c r="W992" s="1">
        <f t="shared" si="139"/>
        <v>1.1884406085032896E-8</v>
      </c>
      <c r="X992" s="1"/>
      <c r="Y992" s="1"/>
      <c r="Z992" s="1">
        <f>[116]Bolger_etal_1992_Fig2!B6</f>
        <v>1.18077324973876E-10</v>
      </c>
      <c r="AA992" s="1"/>
      <c r="AE992" s="3">
        <f>[117]Bolger_etal_1992_Fig6!$B$2*100</f>
        <v>10064.935064935</v>
      </c>
      <c r="AF992" s="2"/>
      <c r="AG992" s="2"/>
      <c r="AK992" t="s">
        <v>199</v>
      </c>
    </row>
    <row r="993" spans="1:37" hidden="1" x14ac:dyDescent="0.25">
      <c r="A993" t="s">
        <v>201</v>
      </c>
      <c r="B993" t="s">
        <v>202</v>
      </c>
      <c r="C993" t="s">
        <v>186</v>
      </c>
      <c r="D993" t="s">
        <v>187</v>
      </c>
      <c r="E993" t="s">
        <v>17</v>
      </c>
      <c r="F993" t="s">
        <v>613</v>
      </c>
      <c r="G993" t="s">
        <v>613</v>
      </c>
      <c r="H993" t="s">
        <v>613</v>
      </c>
      <c r="I993" t="s">
        <v>804</v>
      </c>
      <c r="J993">
        <v>36</v>
      </c>
      <c r="K993" t="s">
        <v>91</v>
      </c>
      <c r="L993" t="s">
        <v>496</v>
      </c>
      <c r="M993" t="str">
        <f t="shared" si="138"/>
        <v>Stress</v>
      </c>
      <c r="R993" t="s">
        <v>408</v>
      </c>
      <c r="S993" t="s">
        <v>701</v>
      </c>
      <c r="T993" t="s">
        <v>695</v>
      </c>
      <c r="U993" t="s">
        <v>609</v>
      </c>
      <c r="V993" s="1" t="s">
        <v>733</v>
      </c>
      <c r="W993" s="1">
        <f t="shared" si="139"/>
        <v>1.4075483903070004E-8</v>
      </c>
      <c r="X993" s="1"/>
      <c r="Y993" s="1"/>
      <c r="Z993" s="1">
        <f>[116]Bolger_etal_1992_Fig2!B7</f>
        <v>1.3984674329501901E-10</v>
      </c>
      <c r="AA993" s="1"/>
      <c r="AE993" s="3">
        <f>[117]Bolger_etal_1992_Fig6!$B$2*100</f>
        <v>10064.935064935</v>
      </c>
      <c r="AF993" s="2"/>
      <c r="AG993" s="2"/>
      <c r="AK993" t="s">
        <v>199</v>
      </c>
    </row>
    <row r="994" spans="1:37" hidden="1" x14ac:dyDescent="0.25">
      <c r="A994" t="s">
        <v>201</v>
      </c>
      <c r="B994" t="s">
        <v>202</v>
      </c>
      <c r="C994" t="s">
        <v>186</v>
      </c>
      <c r="D994" t="s">
        <v>187</v>
      </c>
      <c r="E994" t="s">
        <v>17</v>
      </c>
      <c r="F994" t="s">
        <v>613</v>
      </c>
      <c r="G994" t="s">
        <v>613</v>
      </c>
      <c r="H994" t="s">
        <v>613</v>
      </c>
      <c r="I994" t="s">
        <v>804</v>
      </c>
      <c r="J994">
        <v>36</v>
      </c>
      <c r="K994" t="s">
        <v>91</v>
      </c>
      <c r="L994" t="s">
        <v>496</v>
      </c>
      <c r="M994" t="str">
        <f t="shared" si="138"/>
        <v>Stress</v>
      </c>
      <c r="R994" t="s">
        <v>408</v>
      </c>
      <c r="S994" t="s">
        <v>701</v>
      </c>
      <c r="T994" t="s">
        <v>695</v>
      </c>
      <c r="U994" t="s">
        <v>609</v>
      </c>
      <c r="V994" s="1" t="s">
        <v>733</v>
      </c>
      <c r="W994" s="1">
        <f t="shared" si="139"/>
        <v>1.9421713779080346E-8</v>
      </c>
      <c r="X994" s="1"/>
      <c r="Y994" s="1"/>
      <c r="Z994" s="1">
        <f>[116]Bolger_etal_1992_Fig2!B8</f>
        <v>1.9296412399860599E-10</v>
      </c>
      <c r="AA994" s="1"/>
      <c r="AE994" s="3">
        <f>[117]Bolger_etal_1992_Fig6!$B$2*100</f>
        <v>10064.935064935</v>
      </c>
      <c r="AF994" s="2"/>
      <c r="AG994" s="2"/>
      <c r="AK994" t="s">
        <v>199</v>
      </c>
    </row>
    <row r="995" spans="1:37" hidden="1" x14ac:dyDescent="0.25">
      <c r="A995" t="s">
        <v>201</v>
      </c>
      <c r="B995" t="s">
        <v>202</v>
      </c>
      <c r="C995" t="s">
        <v>186</v>
      </c>
      <c r="D995" t="s">
        <v>187</v>
      </c>
      <c r="E995" t="s">
        <v>17</v>
      </c>
      <c r="F995" t="s">
        <v>613</v>
      </c>
      <c r="G995" t="s">
        <v>613</v>
      </c>
      <c r="H995" t="s">
        <v>613</v>
      </c>
      <c r="I995" t="s">
        <v>804</v>
      </c>
      <c r="J995">
        <v>36</v>
      </c>
      <c r="K995" t="s">
        <v>91</v>
      </c>
      <c r="L995" t="s">
        <v>36</v>
      </c>
      <c r="M995" t="str">
        <f t="shared" si="138"/>
        <v>Control</v>
      </c>
      <c r="R995" t="s">
        <v>408</v>
      </c>
      <c r="S995" t="s">
        <v>701</v>
      </c>
      <c r="T995" t="s">
        <v>695</v>
      </c>
      <c r="U995" t="s">
        <v>609</v>
      </c>
      <c r="V995" s="1" t="s">
        <v>733</v>
      </c>
      <c r="W995" s="1">
        <f t="shared" si="139"/>
        <v>2.546908855686259E-8</v>
      </c>
      <c r="X995" s="1"/>
      <c r="Y995" s="1"/>
      <c r="Z995" s="1">
        <f>[116]Bolger_etal_1992_Fig2!B9</f>
        <v>2.5304771856495899E-10</v>
      </c>
      <c r="AA995" s="1"/>
      <c r="AE995" s="3">
        <f>[117]Bolger_etal_1992_Fig6!$B$2*100</f>
        <v>10064.935064935</v>
      </c>
      <c r="AF995" s="2"/>
      <c r="AG995" s="2"/>
      <c r="AK995" t="s">
        <v>199</v>
      </c>
    </row>
    <row r="996" spans="1:37" hidden="1" x14ac:dyDescent="0.25">
      <c r="A996" t="s">
        <v>405</v>
      </c>
      <c r="B996" t="s">
        <v>14</v>
      </c>
      <c r="C996" t="s">
        <v>15</v>
      </c>
      <c r="D996" t="s">
        <v>16</v>
      </c>
      <c r="E996" t="s">
        <v>17</v>
      </c>
      <c r="F996" t="s">
        <v>18</v>
      </c>
      <c r="G996" t="s">
        <v>18</v>
      </c>
      <c r="H996" t="s">
        <v>18</v>
      </c>
      <c r="I996" t="s">
        <v>704</v>
      </c>
      <c r="J996">
        <f>3+2+1</f>
        <v>6</v>
      </c>
      <c r="K996" t="s">
        <v>590</v>
      </c>
      <c r="L996" t="s">
        <v>36</v>
      </c>
      <c r="M996" t="str">
        <f t="shared" si="138"/>
        <v>Control</v>
      </c>
      <c r="R996" t="s">
        <v>408</v>
      </c>
      <c r="S996" t="s">
        <v>701</v>
      </c>
      <c r="T996" t="s">
        <v>695</v>
      </c>
      <c r="U996" t="s">
        <v>610</v>
      </c>
      <c r="V996" s="1"/>
      <c r="W996" s="1"/>
      <c r="X996">
        <f>[118]Karkomer_etal_1991_Fig2b!C2</f>
        <v>1.0194352768610195E-10</v>
      </c>
      <c r="Y996" s="1"/>
      <c r="Z996" s="1"/>
      <c r="AA996" s="1"/>
      <c r="AE996" s="3"/>
      <c r="AF996" s="2"/>
      <c r="AG996" s="2"/>
      <c r="AK996" t="s">
        <v>348</v>
      </c>
    </row>
    <row r="997" spans="1:37" hidden="1" x14ac:dyDescent="0.25">
      <c r="A997" t="s">
        <v>405</v>
      </c>
      <c r="B997" t="s">
        <v>14</v>
      </c>
      <c r="C997" t="s">
        <v>15</v>
      </c>
      <c r="D997" t="s">
        <v>16</v>
      </c>
      <c r="E997" t="s">
        <v>17</v>
      </c>
      <c r="F997" t="s">
        <v>18</v>
      </c>
      <c r="G997" t="s">
        <v>18</v>
      </c>
      <c r="H997" t="s">
        <v>18</v>
      </c>
      <c r="I997" t="s">
        <v>704</v>
      </c>
      <c r="J997">
        <f>3+2+2</f>
        <v>7</v>
      </c>
      <c r="K997" t="s">
        <v>590</v>
      </c>
      <c r="L997" t="s">
        <v>36</v>
      </c>
      <c r="M997" t="str">
        <f t="shared" si="138"/>
        <v>Control</v>
      </c>
      <c r="R997" t="s">
        <v>408</v>
      </c>
      <c r="S997" t="s">
        <v>701</v>
      </c>
      <c r="T997" t="s">
        <v>695</v>
      </c>
      <c r="U997" t="s">
        <v>610</v>
      </c>
      <c r="V997" s="1"/>
      <c r="W997" s="1"/>
      <c r="X997">
        <f>[118]Karkomer_etal_1991_Fig2b!C3</f>
        <v>9.5892922625595842E-11</v>
      </c>
      <c r="Y997" s="1"/>
      <c r="Z997" s="1"/>
      <c r="AA997" s="1"/>
      <c r="AE997" s="3"/>
      <c r="AF997" s="2"/>
      <c r="AG997" s="2"/>
      <c r="AK997" t="s">
        <v>348</v>
      </c>
    </row>
    <row r="998" spans="1:37" hidden="1" x14ac:dyDescent="0.25">
      <c r="A998" t="s">
        <v>405</v>
      </c>
      <c r="B998" t="s">
        <v>14</v>
      </c>
      <c r="C998" t="s">
        <v>15</v>
      </c>
      <c r="D998" t="s">
        <v>16</v>
      </c>
      <c r="E998" t="s">
        <v>17</v>
      </c>
      <c r="F998" t="s">
        <v>18</v>
      </c>
      <c r="G998" t="s">
        <v>18</v>
      </c>
      <c r="H998" t="s">
        <v>18</v>
      </c>
      <c r="I998" t="s">
        <v>704</v>
      </c>
      <c r="J998">
        <f>3+2+4</f>
        <v>9</v>
      </c>
      <c r="K998" t="s">
        <v>590</v>
      </c>
      <c r="L998" t="s">
        <v>36</v>
      </c>
      <c r="M998" t="str">
        <f t="shared" si="138"/>
        <v>Control</v>
      </c>
      <c r="R998" t="s">
        <v>408</v>
      </c>
      <c r="S998" t="s">
        <v>701</v>
      </c>
      <c r="T998" t="s">
        <v>695</v>
      </c>
      <c r="U998" t="s">
        <v>610</v>
      </c>
      <c r="V998" s="1"/>
      <c r="W998" s="1"/>
      <c r="X998">
        <f>[118]Karkomer_etal_1991_Fig2b!C4</f>
        <v>7.6640997433076388E-11</v>
      </c>
      <c r="Y998" s="1"/>
      <c r="Z998" s="1"/>
      <c r="AA998" s="1"/>
      <c r="AE998" s="3"/>
      <c r="AF998" s="2"/>
      <c r="AG998" s="2"/>
      <c r="AK998" t="s">
        <v>348</v>
      </c>
    </row>
    <row r="999" spans="1:37" hidden="1" x14ac:dyDescent="0.25">
      <c r="A999" t="s">
        <v>405</v>
      </c>
      <c r="B999" t="s">
        <v>14</v>
      </c>
      <c r="C999" t="s">
        <v>15</v>
      </c>
      <c r="D999" t="s">
        <v>16</v>
      </c>
      <c r="E999" t="s">
        <v>17</v>
      </c>
      <c r="F999" t="s">
        <v>18</v>
      </c>
      <c r="G999" t="s">
        <v>18</v>
      </c>
      <c r="H999" t="s">
        <v>18</v>
      </c>
      <c r="I999" t="s">
        <v>704</v>
      </c>
      <c r="J999">
        <f>3+2+6</f>
        <v>11</v>
      </c>
      <c r="K999" t="s">
        <v>590</v>
      </c>
      <c r="L999" t="s">
        <v>36</v>
      </c>
      <c r="M999" t="str">
        <f t="shared" si="138"/>
        <v>Control</v>
      </c>
      <c r="R999" t="s">
        <v>408</v>
      </c>
      <c r="S999" t="s">
        <v>701</v>
      </c>
      <c r="T999" t="s">
        <v>695</v>
      </c>
      <c r="U999" t="s">
        <v>610</v>
      </c>
      <c r="V999" s="1"/>
      <c r="W999" s="1"/>
      <c r="X999">
        <f>[118]Karkomer_etal_1991_Fig2b!C5</f>
        <v>9.1125779244591103E-11</v>
      </c>
      <c r="Y999" s="1"/>
      <c r="Z999" s="1"/>
      <c r="AA999" s="1"/>
      <c r="AE999" s="3"/>
      <c r="AF999" s="2"/>
      <c r="AG999" s="2"/>
      <c r="AK999" t="s">
        <v>348</v>
      </c>
    </row>
    <row r="1000" spans="1:37" hidden="1" x14ac:dyDescent="0.25">
      <c r="A1000" t="s">
        <v>405</v>
      </c>
      <c r="B1000" t="s">
        <v>14</v>
      </c>
      <c r="C1000" t="s">
        <v>15</v>
      </c>
      <c r="D1000" t="s">
        <v>16</v>
      </c>
      <c r="E1000" t="s">
        <v>17</v>
      </c>
      <c r="F1000" t="s">
        <v>18</v>
      </c>
      <c r="G1000" t="s">
        <v>18</v>
      </c>
      <c r="H1000" t="s">
        <v>18</v>
      </c>
      <c r="I1000" t="s">
        <v>704</v>
      </c>
      <c r="J1000">
        <f>3+2+1</f>
        <v>6</v>
      </c>
      <c r="K1000" t="s">
        <v>590</v>
      </c>
      <c r="L1000" t="s">
        <v>593</v>
      </c>
      <c r="M1000" t="str">
        <f t="shared" si="138"/>
        <v>Stress</v>
      </c>
      <c r="R1000" t="s">
        <v>408</v>
      </c>
      <c r="S1000" t="s">
        <v>701</v>
      </c>
      <c r="T1000" t="s">
        <v>695</v>
      </c>
      <c r="U1000" t="s">
        <v>610</v>
      </c>
      <c r="V1000" s="1"/>
      <c r="W1000" s="1"/>
      <c r="X1000">
        <f>[118]Karkomer_etal_1991_Fig2b!C6</f>
        <v>7.9941327466079719E-11</v>
      </c>
      <c r="Y1000" s="1"/>
      <c r="Z1000" s="1"/>
      <c r="AA1000" s="1"/>
      <c r="AE1000" s="3"/>
      <c r="AF1000" s="2"/>
      <c r="AG1000" s="2"/>
      <c r="AK1000" t="s">
        <v>348</v>
      </c>
    </row>
    <row r="1001" spans="1:37" hidden="1" x14ac:dyDescent="0.25">
      <c r="A1001" t="s">
        <v>405</v>
      </c>
      <c r="B1001" t="s">
        <v>14</v>
      </c>
      <c r="C1001" t="s">
        <v>15</v>
      </c>
      <c r="D1001" t="s">
        <v>16</v>
      </c>
      <c r="E1001" t="s">
        <v>17</v>
      </c>
      <c r="F1001" t="s">
        <v>18</v>
      </c>
      <c r="G1001" t="s">
        <v>18</v>
      </c>
      <c r="H1001" t="s">
        <v>18</v>
      </c>
      <c r="I1001" t="s">
        <v>704</v>
      </c>
      <c r="J1001">
        <f>3+2+2</f>
        <v>7</v>
      </c>
      <c r="K1001" t="s">
        <v>590</v>
      </c>
      <c r="L1001" t="s">
        <v>593</v>
      </c>
      <c r="M1001" t="str">
        <f t="shared" si="138"/>
        <v>Stress</v>
      </c>
      <c r="R1001" t="s">
        <v>408</v>
      </c>
      <c r="S1001" t="s">
        <v>701</v>
      </c>
      <c r="T1001" t="s">
        <v>695</v>
      </c>
      <c r="U1001" t="s">
        <v>610</v>
      </c>
      <c r="V1001" s="1"/>
      <c r="W1001" s="1"/>
      <c r="X1001">
        <f>[118]Karkomer_etal_1991_Fig2b!C7</f>
        <v>6.3806380638063603E-11</v>
      </c>
      <c r="Y1001" s="1"/>
      <c r="Z1001" s="1"/>
      <c r="AA1001" s="1"/>
      <c r="AE1001" s="3"/>
      <c r="AF1001" s="2"/>
      <c r="AG1001" s="2"/>
      <c r="AK1001" t="s">
        <v>348</v>
      </c>
    </row>
    <row r="1002" spans="1:37" hidden="1" x14ac:dyDescent="0.25">
      <c r="A1002" t="s">
        <v>405</v>
      </c>
      <c r="B1002" t="s">
        <v>14</v>
      </c>
      <c r="C1002" t="s">
        <v>15</v>
      </c>
      <c r="D1002" t="s">
        <v>16</v>
      </c>
      <c r="E1002" t="s">
        <v>17</v>
      </c>
      <c r="F1002" t="s">
        <v>18</v>
      </c>
      <c r="G1002" t="s">
        <v>18</v>
      </c>
      <c r="H1002" t="s">
        <v>18</v>
      </c>
      <c r="I1002" t="s">
        <v>704</v>
      </c>
      <c r="J1002">
        <f>3+2+4</f>
        <v>9</v>
      </c>
      <c r="K1002" t="s">
        <v>590</v>
      </c>
      <c r="L1002" t="s">
        <v>593</v>
      </c>
      <c r="M1002" t="str">
        <f t="shared" si="138"/>
        <v>Stress</v>
      </c>
      <c r="R1002" t="s">
        <v>408</v>
      </c>
      <c r="S1002" t="s">
        <v>701</v>
      </c>
      <c r="T1002" t="s">
        <v>695</v>
      </c>
      <c r="U1002" t="s">
        <v>610</v>
      </c>
      <c r="V1002" s="1"/>
      <c r="W1002" s="1"/>
      <c r="X1002">
        <f>[118]Karkomer_etal_1991_Fig2b!C8</f>
        <v>2.1268793546021275E-11</v>
      </c>
      <c r="Y1002" s="1"/>
      <c r="Z1002" s="1"/>
      <c r="AA1002" s="1"/>
      <c r="AE1002" s="3"/>
      <c r="AF1002" s="2"/>
      <c r="AG1002" s="2"/>
      <c r="AK1002" t="s">
        <v>348</v>
      </c>
    </row>
    <row r="1003" spans="1:37" hidden="1" x14ac:dyDescent="0.25">
      <c r="A1003" t="s">
        <v>405</v>
      </c>
      <c r="B1003" t="s">
        <v>14</v>
      </c>
      <c r="C1003" t="s">
        <v>15</v>
      </c>
      <c r="D1003" t="s">
        <v>16</v>
      </c>
      <c r="E1003" t="s">
        <v>17</v>
      </c>
      <c r="F1003" t="s">
        <v>18</v>
      </c>
      <c r="G1003" t="s">
        <v>18</v>
      </c>
      <c r="H1003" t="s">
        <v>18</v>
      </c>
      <c r="I1003" t="s">
        <v>704</v>
      </c>
      <c r="J1003">
        <f>3+2+6</f>
        <v>11</v>
      </c>
      <c r="K1003" t="s">
        <v>590</v>
      </c>
      <c r="L1003" t="s">
        <v>593</v>
      </c>
      <c r="M1003" t="str">
        <f t="shared" si="138"/>
        <v>Stress</v>
      </c>
      <c r="R1003" t="s">
        <v>408</v>
      </c>
      <c r="S1003" t="s">
        <v>701</v>
      </c>
      <c r="T1003" t="s">
        <v>695</v>
      </c>
      <c r="U1003" t="s">
        <v>610</v>
      </c>
      <c r="V1003" s="1"/>
      <c r="W1003" s="1"/>
      <c r="X1003">
        <f>[118]Karkomer_etal_1991_Fig2b!C9</f>
        <v>2.273560689402272E-11</v>
      </c>
      <c r="Y1003" s="1"/>
      <c r="Z1003" s="1"/>
      <c r="AA1003" s="1"/>
      <c r="AE1003" s="3"/>
      <c r="AF1003" s="2"/>
      <c r="AG1003" s="2"/>
      <c r="AK1003" t="s">
        <v>348</v>
      </c>
    </row>
    <row r="1004" spans="1:37" hidden="1" x14ac:dyDescent="0.25">
      <c r="A1004" t="s">
        <v>390</v>
      </c>
      <c r="B1004" t="s">
        <v>202</v>
      </c>
      <c r="C1004" t="s">
        <v>186</v>
      </c>
      <c r="D1004" t="s">
        <v>187</v>
      </c>
      <c r="E1004" t="s">
        <v>17</v>
      </c>
      <c r="F1004" t="s">
        <v>613</v>
      </c>
      <c r="G1004" t="s">
        <v>613</v>
      </c>
      <c r="H1004" t="s">
        <v>613</v>
      </c>
      <c r="I1004" t="s">
        <v>804</v>
      </c>
      <c r="J1004">
        <v>12</v>
      </c>
      <c r="K1004" t="s">
        <v>738</v>
      </c>
      <c r="L1004" t="s">
        <v>497</v>
      </c>
      <c r="M1004" t="s">
        <v>707</v>
      </c>
      <c r="R1004" t="s">
        <v>408</v>
      </c>
      <c r="S1004" t="s">
        <v>701</v>
      </c>
      <c r="T1004" t="s">
        <v>695</v>
      </c>
      <c r="U1004" t="s">
        <v>609</v>
      </c>
      <c r="V1004" s="1" t="s">
        <v>733</v>
      </c>
      <c r="W1004" s="1">
        <f t="shared" ref="W1004:W1011" si="140">+Z1004*AE1004/100</f>
        <v>1.9131895193065377E-9</v>
      </c>
      <c r="X1004" s="1"/>
      <c r="Y1004" s="1"/>
      <c r="Z1004" s="1">
        <f>[119]Brar_etal_1991_Fig1!C2</f>
        <v>5.7975439978985998E-10</v>
      </c>
      <c r="AA1004" s="1"/>
      <c r="AE1004">
        <v>330</v>
      </c>
      <c r="AF1004" s="2"/>
      <c r="AG1004" s="2"/>
      <c r="AK1004" t="s">
        <v>199</v>
      </c>
    </row>
    <row r="1005" spans="1:37" hidden="1" x14ac:dyDescent="0.25">
      <c r="A1005" t="s">
        <v>390</v>
      </c>
      <c r="B1005" t="s">
        <v>202</v>
      </c>
      <c r="C1005" t="s">
        <v>186</v>
      </c>
      <c r="D1005" t="s">
        <v>187</v>
      </c>
      <c r="E1005" t="s">
        <v>17</v>
      </c>
      <c r="F1005" t="s">
        <v>613</v>
      </c>
      <c r="G1005" t="s">
        <v>613</v>
      </c>
      <c r="H1005" t="s">
        <v>613</v>
      </c>
      <c r="I1005" t="s">
        <v>804</v>
      </c>
      <c r="J1005">
        <v>24</v>
      </c>
      <c r="K1005" t="s">
        <v>738</v>
      </c>
      <c r="L1005" t="s">
        <v>497</v>
      </c>
      <c r="M1005" t="s">
        <v>707</v>
      </c>
      <c r="R1005" t="s">
        <v>408</v>
      </c>
      <c r="S1005" t="s">
        <v>701</v>
      </c>
      <c r="T1005" t="s">
        <v>695</v>
      </c>
      <c r="U1005" t="s">
        <v>609</v>
      </c>
      <c r="V1005" s="1" t="s">
        <v>733</v>
      </c>
      <c r="W1005" s="1">
        <f t="shared" si="140"/>
        <v>5.3928224323614351E-9</v>
      </c>
      <c r="X1005" s="1"/>
      <c r="Y1005" s="1"/>
      <c r="Z1005" s="1">
        <f>[119]Brar_etal_1991_Fig1!C3</f>
        <v>4.0244943525085338E-10</v>
      </c>
      <c r="AA1005" s="1"/>
      <c r="AE1005">
        <v>1340</v>
      </c>
      <c r="AF1005" s="2"/>
      <c r="AG1005" s="2"/>
      <c r="AK1005" t="s">
        <v>199</v>
      </c>
    </row>
    <row r="1006" spans="1:37" hidden="1" x14ac:dyDescent="0.25">
      <c r="A1006" t="s">
        <v>390</v>
      </c>
      <c r="B1006" t="s">
        <v>202</v>
      </c>
      <c r="C1006" t="s">
        <v>186</v>
      </c>
      <c r="D1006" t="s">
        <v>187</v>
      </c>
      <c r="E1006" t="s">
        <v>17</v>
      </c>
      <c r="F1006" t="s">
        <v>613</v>
      </c>
      <c r="G1006" t="s">
        <v>613</v>
      </c>
      <c r="H1006" t="s">
        <v>613</v>
      </c>
      <c r="I1006" t="s">
        <v>804</v>
      </c>
      <c r="J1006">
        <v>36</v>
      </c>
      <c r="K1006" t="s">
        <v>738</v>
      </c>
      <c r="L1006" t="s">
        <v>497</v>
      </c>
      <c r="M1006" t="s">
        <v>707</v>
      </c>
      <c r="R1006" t="s">
        <v>408</v>
      </c>
      <c r="S1006" t="s">
        <v>701</v>
      </c>
      <c r="T1006" t="s">
        <v>695</v>
      </c>
      <c r="U1006" t="s">
        <v>609</v>
      </c>
      <c r="V1006" s="1" t="s">
        <v>733</v>
      </c>
      <c r="W1006" s="1">
        <f t="shared" si="140"/>
        <v>7.6425531914893447E-9</v>
      </c>
      <c r="X1006" s="1"/>
      <c r="Y1006" s="1"/>
      <c r="Z1006" s="1">
        <f>[119]Brar_etal_1991_Fig1!C4</f>
        <v>2.6536643026004667E-10</v>
      </c>
      <c r="AA1006" s="1"/>
      <c r="AE1006">
        <v>2880</v>
      </c>
      <c r="AF1006" s="2"/>
      <c r="AG1006" s="2"/>
      <c r="AK1006" t="s">
        <v>199</v>
      </c>
    </row>
    <row r="1007" spans="1:37" hidden="1" x14ac:dyDescent="0.25">
      <c r="A1007" t="s">
        <v>390</v>
      </c>
      <c r="B1007" t="s">
        <v>202</v>
      </c>
      <c r="C1007" t="s">
        <v>186</v>
      </c>
      <c r="D1007" t="s">
        <v>187</v>
      </c>
      <c r="E1007" t="s">
        <v>17</v>
      </c>
      <c r="F1007" t="s">
        <v>613</v>
      </c>
      <c r="G1007" t="s">
        <v>613</v>
      </c>
      <c r="H1007" t="s">
        <v>613</v>
      </c>
      <c r="I1007" t="s">
        <v>804</v>
      </c>
      <c r="J1007">
        <v>48</v>
      </c>
      <c r="K1007" t="s">
        <v>738</v>
      </c>
      <c r="L1007" t="s">
        <v>497</v>
      </c>
      <c r="M1007" t="s">
        <v>707</v>
      </c>
      <c r="R1007" t="s">
        <v>408</v>
      </c>
      <c r="S1007" t="s">
        <v>701</v>
      </c>
      <c r="T1007" t="s">
        <v>695</v>
      </c>
      <c r="U1007" t="s">
        <v>609</v>
      </c>
      <c r="V1007" s="1" t="s">
        <v>733</v>
      </c>
      <c r="W1007" s="1">
        <f t="shared" si="140"/>
        <v>3.3627767927501948E-8</v>
      </c>
      <c r="X1007" s="1"/>
      <c r="Y1007" s="1"/>
      <c r="Z1007" s="1">
        <f>[119]Brar_etal_1991_Fig1!C5</f>
        <v>3.5812319411610164E-10</v>
      </c>
      <c r="AA1007" s="1"/>
      <c r="AE1007">
        <v>9390</v>
      </c>
      <c r="AF1007" s="2"/>
      <c r="AG1007" s="2"/>
      <c r="AK1007" t="s">
        <v>199</v>
      </c>
    </row>
    <row r="1008" spans="1:37" hidden="1" x14ac:dyDescent="0.25">
      <c r="A1008" t="s">
        <v>390</v>
      </c>
      <c r="B1008" t="s">
        <v>202</v>
      </c>
      <c r="C1008" t="s">
        <v>186</v>
      </c>
      <c r="D1008" t="s">
        <v>187</v>
      </c>
      <c r="E1008" t="s">
        <v>17</v>
      </c>
      <c r="F1008" t="s">
        <v>613</v>
      </c>
      <c r="G1008" t="s">
        <v>613</v>
      </c>
      <c r="H1008" t="s">
        <v>613</v>
      </c>
      <c r="I1008" t="s">
        <v>804</v>
      </c>
      <c r="J1008">
        <v>12</v>
      </c>
      <c r="K1008" t="s">
        <v>738</v>
      </c>
      <c r="L1008" t="s">
        <v>498</v>
      </c>
      <c r="M1008" t="s">
        <v>707</v>
      </c>
      <c r="R1008" t="s">
        <v>408</v>
      </c>
      <c r="S1008" t="s">
        <v>701</v>
      </c>
      <c r="T1008" t="s">
        <v>695</v>
      </c>
      <c r="U1008" t="s">
        <v>609</v>
      </c>
      <c r="V1008" s="1" t="s">
        <v>733</v>
      </c>
      <c r="W1008" s="1">
        <f t="shared" si="140"/>
        <v>4.3171132125032815E-10</v>
      </c>
      <c r="X1008" s="1"/>
      <c r="Y1008" s="1"/>
      <c r="Z1008" s="1">
        <f>[119]Brar_etal_1991_Fig1!C6</f>
        <v>1.6604281586551082E-10</v>
      </c>
      <c r="AA1008" s="1"/>
      <c r="AE1008">
        <v>260</v>
      </c>
      <c r="AF1008" s="2"/>
      <c r="AG1008" s="2"/>
      <c r="AK1008" t="s">
        <v>199</v>
      </c>
    </row>
    <row r="1009" spans="1:37" hidden="1" x14ac:dyDescent="0.25">
      <c r="A1009" t="s">
        <v>390</v>
      </c>
      <c r="B1009" t="s">
        <v>202</v>
      </c>
      <c r="C1009" t="s">
        <v>186</v>
      </c>
      <c r="D1009" t="s">
        <v>187</v>
      </c>
      <c r="E1009" t="s">
        <v>17</v>
      </c>
      <c r="F1009" t="s">
        <v>613</v>
      </c>
      <c r="G1009" t="s">
        <v>613</v>
      </c>
      <c r="H1009" t="s">
        <v>613</v>
      </c>
      <c r="I1009" t="s">
        <v>804</v>
      </c>
      <c r="J1009">
        <v>24</v>
      </c>
      <c r="K1009" t="s">
        <v>738</v>
      </c>
      <c r="L1009" t="s">
        <v>498</v>
      </c>
      <c r="M1009" t="s">
        <v>707</v>
      </c>
      <c r="R1009" t="s">
        <v>408</v>
      </c>
      <c r="S1009" t="s">
        <v>701</v>
      </c>
      <c r="T1009" t="s">
        <v>695</v>
      </c>
      <c r="U1009" t="s">
        <v>609</v>
      </c>
      <c r="V1009" s="1" t="s">
        <v>733</v>
      </c>
      <c r="W1009" s="1">
        <f t="shared" si="140"/>
        <v>9.8439716312056553E-10</v>
      </c>
      <c r="X1009" s="1"/>
      <c r="Y1009" s="1"/>
      <c r="Z1009" s="1">
        <f>[119]Brar_etal_1991_Fig1!C7</f>
        <v>6.8360914105594835E-11</v>
      </c>
      <c r="AA1009" s="1"/>
      <c r="AE1009">
        <v>1440</v>
      </c>
      <c r="AF1009" s="2"/>
      <c r="AG1009" s="2"/>
      <c r="AK1009" t="s">
        <v>199</v>
      </c>
    </row>
    <row r="1010" spans="1:37" hidden="1" x14ac:dyDescent="0.25">
      <c r="A1010" t="s">
        <v>390</v>
      </c>
      <c r="B1010" t="s">
        <v>202</v>
      </c>
      <c r="C1010" t="s">
        <v>186</v>
      </c>
      <c r="D1010" t="s">
        <v>187</v>
      </c>
      <c r="E1010" t="s">
        <v>17</v>
      </c>
      <c r="F1010" t="s">
        <v>613</v>
      </c>
      <c r="G1010" t="s">
        <v>613</v>
      </c>
      <c r="H1010" t="s">
        <v>613</v>
      </c>
      <c r="I1010" t="s">
        <v>804</v>
      </c>
      <c r="J1010">
        <v>36</v>
      </c>
      <c r="K1010" t="s">
        <v>738</v>
      </c>
      <c r="L1010" t="s">
        <v>498</v>
      </c>
      <c r="M1010" t="s">
        <v>707</v>
      </c>
      <c r="R1010" t="s">
        <v>408</v>
      </c>
      <c r="S1010" t="s">
        <v>701</v>
      </c>
      <c r="T1010" t="s">
        <v>695</v>
      </c>
      <c r="U1010" t="s">
        <v>609</v>
      </c>
      <c r="V1010" s="1" t="s">
        <v>733</v>
      </c>
      <c r="W1010" s="1">
        <f t="shared" si="140"/>
        <v>1.3037431048069308E-9</v>
      </c>
      <c r="X1010" s="1"/>
      <c r="Y1010" s="1"/>
      <c r="Z1010" s="1">
        <f>[119]Brar_etal_1991_Fig1!C8</f>
        <v>7.4927764644076502E-11</v>
      </c>
      <c r="AA1010" s="1"/>
      <c r="AE1010">
        <v>1739.9999999999998</v>
      </c>
      <c r="AF1010" s="2"/>
      <c r="AG1010" s="2"/>
      <c r="AK1010" t="s">
        <v>199</v>
      </c>
    </row>
    <row r="1011" spans="1:37" hidden="1" x14ac:dyDescent="0.25">
      <c r="A1011" t="s">
        <v>390</v>
      </c>
      <c r="B1011" t="s">
        <v>202</v>
      </c>
      <c r="C1011" t="s">
        <v>186</v>
      </c>
      <c r="D1011" t="s">
        <v>187</v>
      </c>
      <c r="E1011" t="s">
        <v>17</v>
      </c>
      <c r="F1011" t="s">
        <v>613</v>
      </c>
      <c r="G1011" t="s">
        <v>613</v>
      </c>
      <c r="H1011" t="s">
        <v>613</v>
      </c>
      <c r="I1011" t="s">
        <v>804</v>
      </c>
      <c r="J1011">
        <v>48</v>
      </c>
      <c r="K1011" t="s">
        <v>738</v>
      </c>
      <c r="L1011" t="s">
        <v>498</v>
      </c>
      <c r="M1011" t="s">
        <v>707</v>
      </c>
      <c r="R1011" t="s">
        <v>408</v>
      </c>
      <c r="S1011" t="s">
        <v>701</v>
      </c>
      <c r="T1011" t="s">
        <v>695</v>
      </c>
      <c r="U1011" t="s">
        <v>609</v>
      </c>
      <c r="V1011" s="1" t="s">
        <v>733</v>
      </c>
      <c r="W1011" s="1">
        <f t="shared" si="140"/>
        <v>7.8998226950354509E-10</v>
      </c>
      <c r="X1011" s="1"/>
      <c r="Y1011" s="1"/>
      <c r="Z1011" s="1">
        <f>[119]Brar_etal_1991_Fig1!C9</f>
        <v>4.6197793538219003E-11</v>
      </c>
      <c r="AA1011" s="1"/>
      <c r="AE1011">
        <v>1710.0000000000002</v>
      </c>
      <c r="AF1011" s="2"/>
      <c r="AG1011" s="2"/>
      <c r="AK1011" t="s">
        <v>199</v>
      </c>
    </row>
    <row r="1012" spans="1:37" hidden="1" x14ac:dyDescent="0.25">
      <c r="A1012" t="s">
        <v>203</v>
      </c>
      <c r="B1012" t="s">
        <v>14</v>
      </c>
      <c r="C1012" t="s">
        <v>15</v>
      </c>
      <c r="D1012" t="s">
        <v>16</v>
      </c>
      <c r="E1012" t="s">
        <v>17</v>
      </c>
      <c r="F1012" t="s">
        <v>18</v>
      </c>
      <c r="G1012" t="s">
        <v>18</v>
      </c>
      <c r="H1012" t="s">
        <v>18</v>
      </c>
      <c r="I1012" t="s">
        <v>704</v>
      </c>
      <c r="J1012">
        <f>10+2+7+4</f>
        <v>23</v>
      </c>
      <c r="K1012" t="s">
        <v>204</v>
      </c>
      <c r="L1012" t="s">
        <v>36</v>
      </c>
      <c r="M1012" t="str">
        <f t="shared" ref="M1012:M1021" si="141">+IF(L1012 = "Control", "Control", "Stress")</f>
        <v>Control</v>
      </c>
      <c r="R1012" t="s">
        <v>408</v>
      </c>
      <c r="S1012" t="s">
        <v>701</v>
      </c>
      <c r="T1012" t="s">
        <v>695</v>
      </c>
      <c r="U1012" t="s">
        <v>609</v>
      </c>
      <c r="V1012" s="1" t="s">
        <v>733</v>
      </c>
      <c r="W1012" s="1">
        <f t="shared" ref="W1012:W1021" si="142">+AB1012*AD1012/10000</f>
        <v>3.6581697171381057E-10</v>
      </c>
      <c r="X1012" s="1"/>
      <c r="Y1012" s="1"/>
      <c r="Z1012" s="1"/>
      <c r="AA1012" s="1"/>
      <c r="AB1012" s="1">
        <f>[120]Berryman_etal_1991_Fig2!B2</f>
        <v>2.4226289517470898E-7</v>
      </c>
      <c r="AD1012">
        <v>15.1</v>
      </c>
      <c r="AF1012" s="2"/>
      <c r="AG1012" s="2"/>
      <c r="AK1012" t="s">
        <v>199</v>
      </c>
    </row>
    <row r="1013" spans="1:37" hidden="1" x14ac:dyDescent="0.25">
      <c r="A1013" t="s">
        <v>203</v>
      </c>
      <c r="B1013" t="s">
        <v>14</v>
      </c>
      <c r="C1013" t="s">
        <v>15</v>
      </c>
      <c r="D1013" t="s">
        <v>16</v>
      </c>
      <c r="E1013" t="s">
        <v>17</v>
      </c>
      <c r="F1013" t="s">
        <v>18</v>
      </c>
      <c r="G1013" t="s">
        <v>18</v>
      </c>
      <c r="H1013" t="s">
        <v>18</v>
      </c>
      <c r="I1013" t="s">
        <v>704</v>
      </c>
      <c r="J1013">
        <f>10+2+7+5</f>
        <v>24</v>
      </c>
      <c r="K1013" t="s">
        <v>204</v>
      </c>
      <c r="L1013" t="s">
        <v>36</v>
      </c>
      <c r="M1013" t="str">
        <f t="shared" si="141"/>
        <v>Control</v>
      </c>
      <c r="R1013" t="s">
        <v>408</v>
      </c>
      <c r="S1013" t="s">
        <v>701</v>
      </c>
      <c r="T1013" t="s">
        <v>695</v>
      </c>
      <c r="U1013" t="s">
        <v>609</v>
      </c>
      <c r="V1013" s="1" t="s">
        <v>733</v>
      </c>
      <c r="W1013" s="1">
        <f t="shared" si="142"/>
        <v>3.8893178036605559E-10</v>
      </c>
      <c r="X1013" s="1"/>
      <c r="Y1013" s="1"/>
      <c r="Z1013" s="1"/>
      <c r="AA1013" s="1"/>
      <c r="AB1013" s="1">
        <f>[120]Berryman_etal_1991_Fig2!B3</f>
        <v>2.5757071547420901E-7</v>
      </c>
      <c r="AD1013">
        <v>15.1</v>
      </c>
      <c r="AF1013" s="2"/>
      <c r="AG1013" s="2"/>
      <c r="AK1013" t="s">
        <v>199</v>
      </c>
    </row>
    <row r="1014" spans="1:37" hidden="1" x14ac:dyDescent="0.25">
      <c r="A1014" t="s">
        <v>203</v>
      </c>
      <c r="B1014" t="s">
        <v>14</v>
      </c>
      <c r="C1014" t="s">
        <v>15</v>
      </c>
      <c r="D1014" t="s">
        <v>16</v>
      </c>
      <c r="E1014" t="s">
        <v>17</v>
      </c>
      <c r="F1014" t="s">
        <v>18</v>
      </c>
      <c r="G1014" t="s">
        <v>18</v>
      </c>
      <c r="H1014" t="s">
        <v>18</v>
      </c>
      <c r="I1014" t="s">
        <v>704</v>
      </c>
      <c r="J1014">
        <f>10+2+7+6</f>
        <v>25</v>
      </c>
      <c r="K1014" t="s">
        <v>204</v>
      </c>
      <c r="L1014" t="s">
        <v>36</v>
      </c>
      <c r="M1014" t="str">
        <f t="shared" si="141"/>
        <v>Control</v>
      </c>
      <c r="R1014" t="s">
        <v>408</v>
      </c>
      <c r="S1014" t="s">
        <v>701</v>
      </c>
      <c r="T1014" t="s">
        <v>695</v>
      </c>
      <c r="U1014" t="s">
        <v>609</v>
      </c>
      <c r="V1014" s="1" t="s">
        <v>733</v>
      </c>
      <c r="W1014" s="1">
        <f t="shared" si="142"/>
        <v>5.1053577371048175E-10</v>
      </c>
      <c r="X1014" s="1"/>
      <c r="Y1014" s="1"/>
      <c r="Z1014" s="1"/>
      <c r="AA1014" s="1"/>
      <c r="AB1014" s="1">
        <f>[120]Berryman_etal_1991_Fig2!B4</f>
        <v>3.3810316139767003E-7</v>
      </c>
      <c r="AD1014">
        <v>15.1</v>
      </c>
      <c r="AF1014" s="2"/>
      <c r="AG1014" s="2"/>
      <c r="AK1014" t="s">
        <v>199</v>
      </c>
    </row>
    <row r="1015" spans="1:37" hidden="1" x14ac:dyDescent="0.25">
      <c r="A1015" t="s">
        <v>203</v>
      </c>
      <c r="B1015" t="s">
        <v>14</v>
      </c>
      <c r="C1015" t="s">
        <v>15</v>
      </c>
      <c r="D1015" t="s">
        <v>16</v>
      </c>
      <c r="E1015" t="s">
        <v>17</v>
      </c>
      <c r="F1015" t="s">
        <v>18</v>
      </c>
      <c r="G1015" t="s">
        <v>18</v>
      </c>
      <c r="H1015" t="s">
        <v>18</v>
      </c>
      <c r="I1015" t="s">
        <v>704</v>
      </c>
      <c r="J1015">
        <f>10+2+7+7</f>
        <v>26</v>
      </c>
      <c r="K1015" t="s">
        <v>204</v>
      </c>
      <c r="L1015" t="s">
        <v>36</v>
      </c>
      <c r="M1015" t="str">
        <f t="shared" si="141"/>
        <v>Control</v>
      </c>
      <c r="R1015" t="s">
        <v>408</v>
      </c>
      <c r="S1015" t="s">
        <v>701</v>
      </c>
      <c r="T1015" t="s">
        <v>695</v>
      </c>
      <c r="U1015" t="s">
        <v>609</v>
      </c>
      <c r="V1015" s="1" t="s">
        <v>733</v>
      </c>
      <c r="W1015" s="1">
        <f t="shared" si="142"/>
        <v>5.9696505823627265E-10</v>
      </c>
      <c r="X1015" s="1"/>
      <c r="Y1015" s="1"/>
      <c r="Z1015" s="1"/>
      <c r="AA1015" s="1"/>
      <c r="AB1015" s="1">
        <f>[120]Berryman_etal_1991_Fig2!B5</f>
        <v>3.9534109816971698E-7</v>
      </c>
      <c r="AD1015">
        <v>15.1</v>
      </c>
      <c r="AF1015" s="2"/>
      <c r="AG1015" s="2"/>
      <c r="AK1015" t="s">
        <v>199</v>
      </c>
    </row>
    <row r="1016" spans="1:37" hidden="1" x14ac:dyDescent="0.25">
      <c r="A1016" t="s">
        <v>203</v>
      </c>
      <c r="B1016" t="s">
        <v>14</v>
      </c>
      <c r="C1016" t="s">
        <v>15</v>
      </c>
      <c r="D1016" t="s">
        <v>16</v>
      </c>
      <c r="E1016" t="s">
        <v>17</v>
      </c>
      <c r="F1016" t="s">
        <v>18</v>
      </c>
      <c r="G1016" t="s">
        <v>18</v>
      </c>
      <c r="H1016" t="s">
        <v>18</v>
      </c>
      <c r="I1016" t="s">
        <v>704</v>
      </c>
      <c r="J1016">
        <f>10+2+7+8</f>
        <v>27</v>
      </c>
      <c r="K1016" t="s">
        <v>204</v>
      </c>
      <c r="L1016" t="s">
        <v>36</v>
      </c>
      <c r="M1016" t="str">
        <f t="shared" si="141"/>
        <v>Control</v>
      </c>
      <c r="R1016" t="s">
        <v>408</v>
      </c>
      <c r="S1016" t="s">
        <v>701</v>
      </c>
      <c r="T1016" t="s">
        <v>695</v>
      </c>
      <c r="U1016" t="s">
        <v>609</v>
      </c>
      <c r="V1016" s="1" t="s">
        <v>733</v>
      </c>
      <c r="W1016" s="1">
        <f t="shared" si="142"/>
        <v>5.999800332778694E-10</v>
      </c>
      <c r="X1016" s="1"/>
      <c r="Y1016" s="1"/>
      <c r="Z1016" s="1"/>
      <c r="AA1016" s="1"/>
      <c r="AB1016" s="1">
        <f>[120]Berryman_etal_1991_Fig2!B6</f>
        <v>3.9733777038269498E-7</v>
      </c>
      <c r="AD1016">
        <v>15.1</v>
      </c>
      <c r="AF1016" s="2"/>
      <c r="AG1016" s="2"/>
      <c r="AK1016" t="s">
        <v>199</v>
      </c>
    </row>
    <row r="1017" spans="1:37" hidden="1" x14ac:dyDescent="0.25">
      <c r="A1017" t="s">
        <v>203</v>
      </c>
      <c r="B1017" t="s">
        <v>14</v>
      </c>
      <c r="C1017" t="s">
        <v>15</v>
      </c>
      <c r="D1017" t="s">
        <v>16</v>
      </c>
      <c r="E1017" t="s">
        <v>17</v>
      </c>
      <c r="F1017" t="s">
        <v>18</v>
      </c>
      <c r="G1017" t="s">
        <v>18</v>
      </c>
      <c r="H1017" t="s">
        <v>18</v>
      </c>
      <c r="I1017" t="s">
        <v>704</v>
      </c>
      <c r="J1017">
        <f>10+2+7+4</f>
        <v>23</v>
      </c>
      <c r="K1017" t="s">
        <v>204</v>
      </c>
      <c r="L1017" t="s">
        <v>205</v>
      </c>
      <c r="M1017" t="str">
        <f t="shared" si="141"/>
        <v>Stress</v>
      </c>
      <c r="R1017" t="s">
        <v>408</v>
      </c>
      <c r="S1017" t="s">
        <v>701</v>
      </c>
      <c r="T1017" t="s">
        <v>695</v>
      </c>
      <c r="U1017" t="s">
        <v>609</v>
      </c>
      <c r="V1017" s="1" t="s">
        <v>733</v>
      </c>
      <c r="W1017" s="1">
        <f t="shared" si="142"/>
        <v>3.4085191347753631E-10</v>
      </c>
      <c r="X1017" s="1"/>
      <c r="Y1017" s="1"/>
      <c r="Z1017" s="1"/>
      <c r="AA1017" s="1"/>
      <c r="AB1017" s="1">
        <f>[120]Berryman_etal_1991_Fig2!B7</f>
        <v>2.6422628951747002E-7</v>
      </c>
      <c r="AD1017">
        <v>12.9</v>
      </c>
      <c r="AF1017" s="2"/>
      <c r="AG1017" s="2"/>
      <c r="AK1017" t="s">
        <v>199</v>
      </c>
    </row>
    <row r="1018" spans="1:37" hidden="1" x14ac:dyDescent="0.25">
      <c r="A1018" t="s">
        <v>203</v>
      </c>
      <c r="B1018" t="s">
        <v>14</v>
      </c>
      <c r="C1018" t="s">
        <v>15</v>
      </c>
      <c r="D1018" t="s">
        <v>16</v>
      </c>
      <c r="E1018" t="s">
        <v>17</v>
      </c>
      <c r="F1018" t="s">
        <v>18</v>
      </c>
      <c r="G1018" t="s">
        <v>18</v>
      </c>
      <c r="H1018" t="s">
        <v>18</v>
      </c>
      <c r="I1018" t="s">
        <v>704</v>
      </c>
      <c r="J1018">
        <f>10+2+7+5</f>
        <v>24</v>
      </c>
      <c r="K1018" t="s">
        <v>204</v>
      </c>
      <c r="L1018" t="s">
        <v>205</v>
      </c>
      <c r="M1018" t="str">
        <f t="shared" si="141"/>
        <v>Stress</v>
      </c>
      <c r="R1018" t="s">
        <v>408</v>
      </c>
      <c r="S1018" t="s">
        <v>701</v>
      </c>
      <c r="T1018" t="s">
        <v>695</v>
      </c>
      <c r="U1018" t="s">
        <v>609</v>
      </c>
      <c r="V1018" s="1" t="s">
        <v>733</v>
      </c>
      <c r="W1018" s="1">
        <f t="shared" si="142"/>
        <v>1.9489517470881871E-10</v>
      </c>
      <c r="X1018" s="1"/>
      <c r="Y1018" s="1"/>
      <c r="Z1018" s="1"/>
      <c r="AA1018" s="1"/>
      <c r="AB1018" s="1">
        <f>[120]Berryman_etal_1991_Fig2!B8</f>
        <v>1.5108153078202999E-7</v>
      </c>
      <c r="AD1018">
        <v>12.9</v>
      </c>
      <c r="AF1018" s="2"/>
      <c r="AG1018" s="2"/>
      <c r="AK1018" t="s">
        <v>199</v>
      </c>
    </row>
    <row r="1019" spans="1:37" hidden="1" x14ac:dyDescent="0.25">
      <c r="A1019" t="s">
        <v>203</v>
      </c>
      <c r="B1019" t="s">
        <v>14</v>
      </c>
      <c r="C1019" t="s">
        <v>15</v>
      </c>
      <c r="D1019" t="s">
        <v>16</v>
      </c>
      <c r="E1019" t="s">
        <v>17</v>
      </c>
      <c r="F1019" t="s">
        <v>18</v>
      </c>
      <c r="G1019" t="s">
        <v>18</v>
      </c>
      <c r="H1019" t="s">
        <v>18</v>
      </c>
      <c r="I1019" t="s">
        <v>704</v>
      </c>
      <c r="J1019">
        <f>10+2+7+6</f>
        <v>25</v>
      </c>
      <c r="K1019" t="s">
        <v>204</v>
      </c>
      <c r="L1019" t="s">
        <v>205</v>
      </c>
      <c r="M1019" t="str">
        <f t="shared" si="141"/>
        <v>Stress</v>
      </c>
      <c r="R1019" t="s">
        <v>408</v>
      </c>
      <c r="S1019" t="s">
        <v>701</v>
      </c>
      <c r="T1019" t="s">
        <v>695</v>
      </c>
      <c r="U1019" t="s">
        <v>609</v>
      </c>
      <c r="V1019" s="1" t="s">
        <v>733</v>
      </c>
      <c r="W1019" s="1">
        <f t="shared" si="142"/>
        <v>2.4211647254575616E-10</v>
      </c>
      <c r="X1019" s="1"/>
      <c r="Y1019" s="1"/>
      <c r="Z1019" s="1"/>
      <c r="AA1019" s="1"/>
      <c r="AB1019" s="1">
        <f>[120]Berryman_etal_1991_Fig2!B9</f>
        <v>1.8768718801996599E-7</v>
      </c>
      <c r="AD1019">
        <v>12.9</v>
      </c>
      <c r="AF1019" s="2"/>
      <c r="AG1019" s="2"/>
      <c r="AK1019" t="s">
        <v>199</v>
      </c>
    </row>
    <row r="1020" spans="1:37" hidden="1" x14ac:dyDescent="0.25">
      <c r="A1020" t="s">
        <v>203</v>
      </c>
      <c r="B1020" t="s">
        <v>14</v>
      </c>
      <c r="C1020" t="s">
        <v>15</v>
      </c>
      <c r="D1020" t="s">
        <v>16</v>
      </c>
      <c r="E1020" t="s">
        <v>17</v>
      </c>
      <c r="F1020" t="s">
        <v>18</v>
      </c>
      <c r="G1020" t="s">
        <v>18</v>
      </c>
      <c r="H1020" t="s">
        <v>18</v>
      </c>
      <c r="I1020" t="s">
        <v>704</v>
      </c>
      <c r="J1020">
        <f>10+2+7+7</f>
        <v>26</v>
      </c>
      <c r="K1020" t="s">
        <v>204</v>
      </c>
      <c r="L1020" t="s">
        <v>205</v>
      </c>
      <c r="M1020" t="str">
        <f t="shared" si="141"/>
        <v>Stress</v>
      </c>
      <c r="R1020" t="s">
        <v>408</v>
      </c>
      <c r="S1020" t="s">
        <v>701</v>
      </c>
      <c r="T1020" t="s">
        <v>695</v>
      </c>
      <c r="U1020" t="s">
        <v>609</v>
      </c>
      <c r="V1020" s="1" t="s">
        <v>733</v>
      </c>
      <c r="W1020" s="1">
        <f t="shared" si="142"/>
        <v>2.987820299500821E-10</v>
      </c>
      <c r="X1020" s="1"/>
      <c r="Y1020" s="1"/>
      <c r="Z1020" s="1"/>
      <c r="AA1020" s="1"/>
      <c r="AB1020" s="1">
        <f>[120]Berryman_etal_1991_Fig2!B10</f>
        <v>2.3161397670549E-7</v>
      </c>
      <c r="AD1020">
        <v>12.9</v>
      </c>
      <c r="AF1020" s="2"/>
      <c r="AG1020" s="2"/>
      <c r="AK1020" t="s">
        <v>199</v>
      </c>
    </row>
    <row r="1021" spans="1:37" hidden="1" x14ac:dyDescent="0.25">
      <c r="A1021" t="s">
        <v>203</v>
      </c>
      <c r="B1021" t="s">
        <v>14</v>
      </c>
      <c r="C1021" t="s">
        <v>15</v>
      </c>
      <c r="D1021" t="s">
        <v>16</v>
      </c>
      <c r="E1021" t="s">
        <v>17</v>
      </c>
      <c r="F1021" t="s">
        <v>18</v>
      </c>
      <c r="G1021" t="s">
        <v>18</v>
      </c>
      <c r="H1021" t="s">
        <v>18</v>
      </c>
      <c r="I1021" t="s">
        <v>704</v>
      </c>
      <c r="J1021">
        <f>10+2+7+8</f>
        <v>27</v>
      </c>
      <c r="K1021" t="s">
        <v>204</v>
      </c>
      <c r="L1021" t="s">
        <v>205</v>
      </c>
      <c r="M1021" t="str">
        <f t="shared" si="141"/>
        <v>Stress</v>
      </c>
      <c r="R1021" t="s">
        <v>408</v>
      </c>
      <c r="S1021" t="s">
        <v>701</v>
      </c>
      <c r="T1021" t="s">
        <v>695</v>
      </c>
      <c r="U1021" t="s">
        <v>609</v>
      </c>
      <c r="V1021" s="1" t="s">
        <v>733</v>
      </c>
      <c r="W1021" s="1">
        <f t="shared" si="142"/>
        <v>4.8079866888519143E-10</v>
      </c>
      <c r="X1021" s="1"/>
      <c r="Y1021" s="1"/>
      <c r="Z1021" s="1"/>
      <c r="AA1021" s="1"/>
      <c r="AB1021" s="1">
        <f>[120]Berryman_etal_1991_Fig2!B11</f>
        <v>3.72712146422629E-7</v>
      </c>
      <c r="AD1021">
        <v>12.9</v>
      </c>
      <c r="AF1021" s="2"/>
      <c r="AG1021" s="2"/>
      <c r="AK1021" t="s">
        <v>199</v>
      </c>
    </row>
    <row r="1022" spans="1:37" hidden="1" x14ac:dyDescent="0.25">
      <c r="A1022" t="s">
        <v>206</v>
      </c>
      <c r="B1022" t="s">
        <v>207</v>
      </c>
      <c r="C1022" t="s">
        <v>208</v>
      </c>
      <c r="D1022" t="s">
        <v>196</v>
      </c>
      <c r="E1022" t="s">
        <v>17</v>
      </c>
      <c r="F1022" t="s">
        <v>197</v>
      </c>
      <c r="G1022" t="s">
        <v>612</v>
      </c>
      <c r="H1022" t="s">
        <v>761</v>
      </c>
      <c r="I1022" t="s">
        <v>705</v>
      </c>
      <c r="J1022">
        <f t="shared" ref="J1022:J1030" si="143">9*30</f>
        <v>270</v>
      </c>
      <c r="K1022" t="s">
        <v>596</v>
      </c>
      <c r="L1022" t="s">
        <v>499</v>
      </c>
      <c r="M1022" t="s">
        <v>707</v>
      </c>
      <c r="R1022" t="s">
        <v>408</v>
      </c>
      <c r="S1022" t="s">
        <v>701</v>
      </c>
      <c r="T1022" t="s">
        <v>695</v>
      </c>
      <c r="U1022" t="s">
        <v>609</v>
      </c>
      <c r="V1022" s="1" t="s">
        <v>774</v>
      </c>
      <c r="W1022" s="1">
        <v>7.7500000000000001E-10</v>
      </c>
      <c r="X1022" s="1"/>
      <c r="Y1022" s="1"/>
      <c r="Z1022" s="1">
        <v>2.0399999999999999E-11</v>
      </c>
      <c r="AA1022" s="1"/>
      <c r="AC1022" s="2"/>
      <c r="AD1022" s="3"/>
      <c r="AE1022">
        <v>3950</v>
      </c>
      <c r="AF1022" s="2">
        <v>2.39</v>
      </c>
      <c r="AG1022" s="2"/>
      <c r="AK1022" t="s">
        <v>199</v>
      </c>
    </row>
    <row r="1023" spans="1:37" hidden="1" x14ac:dyDescent="0.25">
      <c r="A1023" t="s">
        <v>206</v>
      </c>
      <c r="B1023" t="s">
        <v>207</v>
      </c>
      <c r="C1023" t="s">
        <v>208</v>
      </c>
      <c r="D1023" t="s">
        <v>196</v>
      </c>
      <c r="E1023" t="s">
        <v>17</v>
      </c>
      <c r="F1023" t="s">
        <v>197</v>
      </c>
      <c r="G1023" t="s">
        <v>612</v>
      </c>
      <c r="H1023" t="s">
        <v>761</v>
      </c>
      <c r="I1023" t="s">
        <v>705</v>
      </c>
      <c r="J1023">
        <f t="shared" si="143"/>
        <v>270</v>
      </c>
      <c r="K1023" t="s">
        <v>596</v>
      </c>
      <c r="L1023" t="s">
        <v>500</v>
      </c>
      <c r="M1023" t="s">
        <v>707</v>
      </c>
      <c r="R1023" t="s">
        <v>408</v>
      </c>
      <c r="S1023" t="s">
        <v>701</v>
      </c>
      <c r="T1023" t="s">
        <v>695</v>
      </c>
      <c r="U1023" t="s">
        <v>609</v>
      </c>
      <c r="V1023" s="1" t="s">
        <v>774</v>
      </c>
      <c r="W1023" s="1">
        <v>8.1099999999999999E-10</v>
      </c>
      <c r="X1023" s="1"/>
      <c r="Y1023" s="1"/>
      <c r="Z1023" s="1">
        <v>2.5899999999999996E-11</v>
      </c>
      <c r="AA1023" s="1"/>
      <c r="AC1023" s="2"/>
      <c r="AE1023">
        <v>3160</v>
      </c>
      <c r="AF1023" s="2">
        <v>2.08</v>
      </c>
      <c r="AG1023" s="2"/>
      <c r="AK1023" t="s">
        <v>199</v>
      </c>
    </row>
    <row r="1024" spans="1:37" hidden="1" x14ac:dyDescent="0.25">
      <c r="A1024" t="s">
        <v>206</v>
      </c>
      <c r="B1024" t="s">
        <v>207</v>
      </c>
      <c r="C1024" t="s">
        <v>208</v>
      </c>
      <c r="D1024" t="s">
        <v>196</v>
      </c>
      <c r="E1024" t="s">
        <v>17</v>
      </c>
      <c r="F1024" t="s">
        <v>197</v>
      </c>
      <c r="G1024" t="s">
        <v>612</v>
      </c>
      <c r="H1024" t="s">
        <v>761</v>
      </c>
      <c r="I1024" t="s">
        <v>705</v>
      </c>
      <c r="J1024">
        <f t="shared" si="143"/>
        <v>270</v>
      </c>
      <c r="K1024" t="s">
        <v>596</v>
      </c>
      <c r="L1024" t="s">
        <v>501</v>
      </c>
      <c r="M1024" t="s">
        <v>707</v>
      </c>
      <c r="R1024" t="s">
        <v>408</v>
      </c>
      <c r="S1024" t="s">
        <v>701</v>
      </c>
      <c r="T1024" t="s">
        <v>695</v>
      </c>
      <c r="U1024" t="s">
        <v>609</v>
      </c>
      <c r="V1024" s="1" t="s">
        <v>774</v>
      </c>
      <c r="W1024" s="1">
        <v>1.14E-9</v>
      </c>
      <c r="X1024" s="1"/>
      <c r="Y1024" s="1"/>
      <c r="Z1024" s="1">
        <v>2.8099999999999999E-11</v>
      </c>
      <c r="AA1024" s="1"/>
      <c r="AC1024" s="2"/>
      <c r="AE1024">
        <v>4320</v>
      </c>
      <c r="AF1024" s="2">
        <v>2.69</v>
      </c>
      <c r="AG1024" s="2"/>
      <c r="AK1024" t="s">
        <v>199</v>
      </c>
    </row>
    <row r="1025" spans="1:37" hidden="1" x14ac:dyDescent="0.25">
      <c r="A1025" t="s">
        <v>206</v>
      </c>
      <c r="B1025" t="s">
        <v>207</v>
      </c>
      <c r="C1025" t="s">
        <v>208</v>
      </c>
      <c r="D1025" t="s">
        <v>196</v>
      </c>
      <c r="E1025" t="s">
        <v>17</v>
      </c>
      <c r="F1025" t="s">
        <v>197</v>
      </c>
      <c r="G1025" t="s">
        <v>612</v>
      </c>
      <c r="H1025" t="s">
        <v>761</v>
      </c>
      <c r="I1025" t="s">
        <v>705</v>
      </c>
      <c r="J1025">
        <f t="shared" si="143"/>
        <v>270</v>
      </c>
      <c r="K1025" t="s">
        <v>209</v>
      </c>
      <c r="L1025" t="s">
        <v>454</v>
      </c>
      <c r="M1025" t="s">
        <v>707</v>
      </c>
      <c r="R1025" t="s">
        <v>408</v>
      </c>
      <c r="S1025" t="s">
        <v>701</v>
      </c>
      <c r="T1025" t="s">
        <v>695</v>
      </c>
      <c r="U1025" t="s">
        <v>609</v>
      </c>
      <c r="V1025" s="1" t="s">
        <v>774</v>
      </c>
      <c r="W1025" s="1">
        <v>7.78E-10</v>
      </c>
      <c r="X1025" s="1"/>
      <c r="Y1025" s="1"/>
      <c r="Z1025" s="1">
        <v>2.1099999999999997E-11</v>
      </c>
      <c r="AA1025" s="1"/>
      <c r="AC1025" s="2"/>
      <c r="AE1025">
        <v>3890</v>
      </c>
      <c r="AF1025" s="2">
        <v>2.4700000000000002</v>
      </c>
      <c r="AG1025" s="2"/>
      <c r="AK1025" t="s">
        <v>199</v>
      </c>
    </row>
    <row r="1026" spans="1:37" hidden="1" x14ac:dyDescent="0.25">
      <c r="A1026" t="s">
        <v>206</v>
      </c>
      <c r="B1026" t="s">
        <v>207</v>
      </c>
      <c r="C1026" t="s">
        <v>208</v>
      </c>
      <c r="D1026" t="s">
        <v>196</v>
      </c>
      <c r="E1026" t="s">
        <v>17</v>
      </c>
      <c r="F1026" t="s">
        <v>197</v>
      </c>
      <c r="G1026" t="s">
        <v>612</v>
      </c>
      <c r="H1026" t="s">
        <v>761</v>
      </c>
      <c r="I1026" t="s">
        <v>705</v>
      </c>
      <c r="J1026">
        <f t="shared" si="143"/>
        <v>270</v>
      </c>
      <c r="K1026" t="s">
        <v>209</v>
      </c>
      <c r="L1026" t="s">
        <v>415</v>
      </c>
      <c r="M1026" t="s">
        <v>707</v>
      </c>
      <c r="R1026" t="s">
        <v>408</v>
      </c>
      <c r="S1026" t="s">
        <v>701</v>
      </c>
      <c r="T1026" t="s">
        <v>695</v>
      </c>
      <c r="U1026" t="s">
        <v>609</v>
      </c>
      <c r="V1026" s="1" t="s">
        <v>774</v>
      </c>
      <c r="W1026" s="1">
        <v>8.3400000000000002E-10</v>
      </c>
      <c r="X1026" s="1"/>
      <c r="Y1026" s="1"/>
      <c r="Z1026" s="1">
        <v>2.3399999999999998E-11</v>
      </c>
      <c r="AA1026" s="1"/>
      <c r="AC1026" s="2"/>
      <c r="AE1026">
        <v>3620</v>
      </c>
      <c r="AF1026" s="2">
        <v>2.2599999999999998</v>
      </c>
      <c r="AG1026" s="2"/>
      <c r="AK1026" t="s">
        <v>199</v>
      </c>
    </row>
    <row r="1027" spans="1:37" hidden="1" x14ac:dyDescent="0.25">
      <c r="A1027" t="s">
        <v>206</v>
      </c>
      <c r="B1027" t="s">
        <v>207</v>
      </c>
      <c r="C1027" t="s">
        <v>208</v>
      </c>
      <c r="D1027" t="s">
        <v>196</v>
      </c>
      <c r="E1027" t="s">
        <v>17</v>
      </c>
      <c r="F1027" t="s">
        <v>197</v>
      </c>
      <c r="G1027" t="s">
        <v>612</v>
      </c>
      <c r="H1027" t="s">
        <v>761</v>
      </c>
      <c r="I1027" t="s">
        <v>705</v>
      </c>
      <c r="J1027">
        <f t="shared" si="143"/>
        <v>270</v>
      </c>
      <c r="K1027" t="s">
        <v>209</v>
      </c>
      <c r="L1027" t="s">
        <v>455</v>
      </c>
      <c r="M1027" t="s">
        <v>707</v>
      </c>
      <c r="R1027" t="s">
        <v>408</v>
      </c>
      <c r="S1027" t="s">
        <v>701</v>
      </c>
      <c r="T1027" t="s">
        <v>695</v>
      </c>
      <c r="U1027" t="s">
        <v>609</v>
      </c>
      <c r="V1027" s="1" t="s">
        <v>774</v>
      </c>
      <c r="W1027" s="1">
        <v>1.1100000000000001E-9</v>
      </c>
      <c r="X1027" s="1"/>
      <c r="Y1027" s="1"/>
      <c r="Z1027" s="1">
        <v>2.9900000000000001E-11</v>
      </c>
      <c r="AA1027" s="1"/>
      <c r="AC1027" s="2"/>
      <c r="AE1027">
        <v>3920</v>
      </c>
      <c r="AF1027" s="2">
        <v>2.44</v>
      </c>
      <c r="AG1027" s="2"/>
      <c r="AK1027" t="s">
        <v>199</v>
      </c>
    </row>
    <row r="1028" spans="1:37" hidden="1" x14ac:dyDescent="0.25">
      <c r="A1028" t="s">
        <v>206</v>
      </c>
      <c r="B1028" t="s">
        <v>207</v>
      </c>
      <c r="C1028" t="s">
        <v>208</v>
      </c>
      <c r="D1028" t="s">
        <v>196</v>
      </c>
      <c r="E1028" t="s">
        <v>17</v>
      </c>
      <c r="F1028" t="s">
        <v>197</v>
      </c>
      <c r="G1028" t="s">
        <v>612</v>
      </c>
      <c r="H1028" t="s">
        <v>761</v>
      </c>
      <c r="I1028" t="s">
        <v>705</v>
      </c>
      <c r="J1028">
        <f t="shared" si="143"/>
        <v>270</v>
      </c>
      <c r="K1028" t="s">
        <v>209</v>
      </c>
      <c r="L1028" t="s">
        <v>415</v>
      </c>
      <c r="M1028" t="s">
        <v>707</v>
      </c>
      <c r="R1028" t="s">
        <v>408</v>
      </c>
      <c r="S1028" t="s">
        <v>701</v>
      </c>
      <c r="T1028" t="s">
        <v>695</v>
      </c>
      <c r="U1028" t="s">
        <v>609</v>
      </c>
      <c r="V1028" s="1" t="s">
        <v>774</v>
      </c>
      <c r="W1028" s="1">
        <v>1.32E-9</v>
      </c>
      <c r="X1028" s="1"/>
      <c r="Y1028" s="1"/>
      <c r="Z1028" s="1">
        <v>3.5000000000000002E-11</v>
      </c>
      <c r="AA1028" s="1"/>
      <c r="AE1028">
        <v>4060</v>
      </c>
      <c r="AF1028" s="2">
        <v>2.35</v>
      </c>
      <c r="AG1028" s="2"/>
      <c r="AK1028" t="s">
        <v>199</v>
      </c>
    </row>
    <row r="1029" spans="1:37" hidden="1" x14ac:dyDescent="0.25">
      <c r="A1029" t="s">
        <v>206</v>
      </c>
      <c r="B1029" t="s">
        <v>207</v>
      </c>
      <c r="C1029" t="s">
        <v>208</v>
      </c>
      <c r="D1029" t="s">
        <v>196</v>
      </c>
      <c r="E1029" t="s">
        <v>17</v>
      </c>
      <c r="F1029" t="s">
        <v>197</v>
      </c>
      <c r="G1029" t="s">
        <v>612</v>
      </c>
      <c r="H1029" t="s">
        <v>761</v>
      </c>
      <c r="I1029" t="s">
        <v>705</v>
      </c>
      <c r="J1029">
        <f t="shared" si="143"/>
        <v>270</v>
      </c>
      <c r="K1029" t="s">
        <v>209</v>
      </c>
      <c r="L1029" t="s">
        <v>456</v>
      </c>
      <c r="M1029" t="s">
        <v>707</v>
      </c>
      <c r="R1029" t="s">
        <v>408</v>
      </c>
      <c r="S1029" t="s">
        <v>701</v>
      </c>
      <c r="T1029" t="s">
        <v>695</v>
      </c>
      <c r="U1029" t="s">
        <v>609</v>
      </c>
      <c r="V1029" s="1" t="s">
        <v>774</v>
      </c>
      <c r="W1029" s="1">
        <v>8.8600000000000004E-10</v>
      </c>
      <c r="X1029" s="1"/>
      <c r="Y1029" s="1"/>
      <c r="Z1029" s="1">
        <v>2.9800000000000003E-11</v>
      </c>
      <c r="AA1029" s="1"/>
      <c r="AE1029">
        <v>3060</v>
      </c>
      <c r="AF1029" s="2">
        <v>2.29</v>
      </c>
      <c r="AG1029" s="2"/>
      <c r="AK1029" t="s">
        <v>199</v>
      </c>
    </row>
    <row r="1030" spans="1:37" hidden="1" x14ac:dyDescent="0.25">
      <c r="A1030" t="s">
        <v>206</v>
      </c>
      <c r="B1030" t="s">
        <v>207</v>
      </c>
      <c r="C1030" t="s">
        <v>208</v>
      </c>
      <c r="D1030" t="s">
        <v>196</v>
      </c>
      <c r="E1030" t="s">
        <v>17</v>
      </c>
      <c r="F1030" t="s">
        <v>197</v>
      </c>
      <c r="G1030" t="s">
        <v>612</v>
      </c>
      <c r="H1030" t="s">
        <v>761</v>
      </c>
      <c r="I1030" t="s">
        <v>705</v>
      </c>
      <c r="J1030">
        <f t="shared" si="143"/>
        <v>270</v>
      </c>
      <c r="K1030" t="s">
        <v>209</v>
      </c>
      <c r="L1030" t="s">
        <v>210</v>
      </c>
      <c r="M1030" t="s">
        <v>707</v>
      </c>
      <c r="R1030" t="s">
        <v>408</v>
      </c>
      <c r="S1030" t="s">
        <v>701</v>
      </c>
      <c r="T1030" t="s">
        <v>695</v>
      </c>
      <c r="U1030" t="s">
        <v>609</v>
      </c>
      <c r="V1030" s="1" t="s">
        <v>774</v>
      </c>
      <c r="W1030" s="1">
        <v>1.6399999999999999E-9</v>
      </c>
      <c r="X1030" s="1"/>
      <c r="Y1030" s="1"/>
      <c r="Z1030" s="1">
        <v>3.43E-11</v>
      </c>
      <c r="AA1030" s="1"/>
      <c r="AE1030">
        <v>5200</v>
      </c>
      <c r="AF1030" s="2">
        <v>3.67</v>
      </c>
      <c r="AG1030" s="2"/>
      <c r="AK1030" t="s">
        <v>199</v>
      </c>
    </row>
    <row r="1031" spans="1:37" hidden="1" x14ac:dyDescent="0.25">
      <c r="A1031" t="s">
        <v>211</v>
      </c>
      <c r="B1031" t="s">
        <v>212</v>
      </c>
      <c r="C1031" t="s">
        <v>139</v>
      </c>
      <c r="D1031" t="s">
        <v>140</v>
      </c>
      <c r="E1031" t="s">
        <v>17</v>
      </c>
      <c r="F1031" t="s">
        <v>69</v>
      </c>
      <c r="G1031" t="s">
        <v>616</v>
      </c>
      <c r="H1031" t="s">
        <v>760</v>
      </c>
      <c r="I1031" t="s">
        <v>705</v>
      </c>
      <c r="J1031">
        <f t="shared" ref="J1031:J1036" si="144">+AVERAGE(48,63) +21 + 7</f>
        <v>83.5</v>
      </c>
      <c r="K1031" t="s">
        <v>502</v>
      </c>
      <c r="L1031" t="s">
        <v>36</v>
      </c>
      <c r="M1031" t="str">
        <f t="shared" ref="M1031:M1042" si="145">+IF(L1031 = "Control", "Control", "Stress")</f>
        <v>Control</v>
      </c>
      <c r="N1031" t="s">
        <v>36</v>
      </c>
      <c r="O1031" t="str">
        <f t="shared" ref="O1031:O1036" si="146">+IF(N1031="Control","Control","Stress")</f>
        <v>Control</v>
      </c>
      <c r="R1031" t="s">
        <v>408</v>
      </c>
      <c r="S1031" t="s">
        <v>701</v>
      </c>
      <c r="T1031" t="s">
        <v>695</v>
      </c>
      <c r="U1031" t="s">
        <v>609</v>
      </c>
      <c r="V1031" s="1" t="s">
        <v>774</v>
      </c>
      <c r="W1031" s="1">
        <v>2.8999999999999999E-9</v>
      </c>
      <c r="X1031" s="1"/>
      <c r="Y1031" s="1"/>
      <c r="Z1031" s="1">
        <v>3.4000000000000001E-10</v>
      </c>
      <c r="AA1031" s="2"/>
      <c r="AE1031">
        <v>911</v>
      </c>
      <c r="AF1031" s="2"/>
      <c r="AG1031" s="2"/>
      <c r="AK1031" t="s">
        <v>199</v>
      </c>
    </row>
    <row r="1032" spans="1:37" hidden="1" x14ac:dyDescent="0.25">
      <c r="A1032" t="s">
        <v>211</v>
      </c>
      <c r="B1032" t="s">
        <v>212</v>
      </c>
      <c r="C1032" t="s">
        <v>139</v>
      </c>
      <c r="D1032" t="s">
        <v>140</v>
      </c>
      <c r="E1032" t="s">
        <v>17</v>
      </c>
      <c r="F1032" t="s">
        <v>69</v>
      </c>
      <c r="G1032" t="s">
        <v>616</v>
      </c>
      <c r="H1032" t="s">
        <v>760</v>
      </c>
      <c r="I1032" t="s">
        <v>705</v>
      </c>
      <c r="J1032">
        <f t="shared" si="144"/>
        <v>83.5</v>
      </c>
      <c r="K1032" t="s">
        <v>502</v>
      </c>
      <c r="L1032" t="s">
        <v>36</v>
      </c>
      <c r="M1032" t="str">
        <f t="shared" si="145"/>
        <v>Control</v>
      </c>
      <c r="N1032" t="s">
        <v>503</v>
      </c>
      <c r="O1032" t="str">
        <f t="shared" si="146"/>
        <v>Stress</v>
      </c>
      <c r="R1032" t="s">
        <v>408</v>
      </c>
      <c r="S1032" t="s">
        <v>701</v>
      </c>
      <c r="T1032" t="s">
        <v>695</v>
      </c>
      <c r="U1032" t="s">
        <v>609</v>
      </c>
      <c r="V1032" s="1" t="s">
        <v>774</v>
      </c>
      <c r="W1032" s="1">
        <v>3.9000000000000002E-9</v>
      </c>
      <c r="X1032" s="1"/>
      <c r="Y1032" s="1"/>
      <c r="Z1032" s="1">
        <v>4.5999999999999996E-10</v>
      </c>
      <c r="AA1032" s="2"/>
      <c r="AE1032">
        <v>853</v>
      </c>
      <c r="AF1032" s="2"/>
      <c r="AG1032" s="2"/>
      <c r="AK1032" t="s">
        <v>199</v>
      </c>
    </row>
    <row r="1033" spans="1:37" hidden="1" x14ac:dyDescent="0.25">
      <c r="A1033" t="s">
        <v>211</v>
      </c>
      <c r="B1033" t="s">
        <v>212</v>
      </c>
      <c r="C1033" t="s">
        <v>139</v>
      </c>
      <c r="D1033" t="s">
        <v>140</v>
      </c>
      <c r="E1033" t="s">
        <v>17</v>
      </c>
      <c r="F1033" t="s">
        <v>69</v>
      </c>
      <c r="G1033" t="s">
        <v>616</v>
      </c>
      <c r="H1033" t="s">
        <v>760</v>
      </c>
      <c r="I1033" t="s">
        <v>705</v>
      </c>
      <c r="J1033">
        <f t="shared" si="144"/>
        <v>83.5</v>
      </c>
      <c r="K1033" t="s">
        <v>502</v>
      </c>
      <c r="L1033" t="s">
        <v>504</v>
      </c>
      <c r="M1033" t="str">
        <f t="shared" si="145"/>
        <v>Stress</v>
      </c>
      <c r="N1033" t="s">
        <v>36</v>
      </c>
      <c r="O1033" t="str">
        <f t="shared" si="146"/>
        <v>Control</v>
      </c>
      <c r="R1033" t="s">
        <v>408</v>
      </c>
      <c r="S1033" t="s">
        <v>701</v>
      </c>
      <c r="T1033" t="s">
        <v>695</v>
      </c>
      <c r="U1033" t="s">
        <v>609</v>
      </c>
      <c r="V1033" s="1" t="s">
        <v>774</v>
      </c>
      <c r="W1033" s="1">
        <v>3.1E-9</v>
      </c>
      <c r="X1033" s="1"/>
      <c r="Y1033" s="1"/>
      <c r="Z1033" s="1">
        <v>4.0000000000000001E-10</v>
      </c>
      <c r="AA1033" s="2"/>
      <c r="AE1033">
        <v>785</v>
      </c>
      <c r="AF1033" s="2"/>
      <c r="AG1033" s="2"/>
      <c r="AK1033" t="s">
        <v>199</v>
      </c>
    </row>
    <row r="1034" spans="1:37" hidden="1" x14ac:dyDescent="0.25">
      <c r="A1034" t="s">
        <v>211</v>
      </c>
      <c r="B1034" t="s">
        <v>212</v>
      </c>
      <c r="C1034" t="s">
        <v>139</v>
      </c>
      <c r="D1034" t="s">
        <v>140</v>
      </c>
      <c r="E1034" t="s">
        <v>17</v>
      </c>
      <c r="F1034" t="s">
        <v>69</v>
      </c>
      <c r="G1034" t="s">
        <v>616</v>
      </c>
      <c r="H1034" t="s">
        <v>760</v>
      </c>
      <c r="I1034" t="s">
        <v>705</v>
      </c>
      <c r="J1034">
        <f t="shared" si="144"/>
        <v>83.5</v>
      </c>
      <c r="K1034" t="s">
        <v>502</v>
      </c>
      <c r="L1034" t="s">
        <v>504</v>
      </c>
      <c r="M1034" t="str">
        <f t="shared" si="145"/>
        <v>Stress</v>
      </c>
      <c r="N1034" t="s">
        <v>503</v>
      </c>
      <c r="O1034" t="str">
        <f t="shared" si="146"/>
        <v>Stress</v>
      </c>
      <c r="R1034" t="s">
        <v>408</v>
      </c>
      <c r="S1034" t="s">
        <v>701</v>
      </c>
      <c r="T1034" t="s">
        <v>695</v>
      </c>
      <c r="U1034" t="s">
        <v>609</v>
      </c>
      <c r="V1034" s="1" t="s">
        <v>774</v>
      </c>
      <c r="W1034" s="1">
        <v>2.4E-9</v>
      </c>
      <c r="X1034" s="1"/>
      <c r="Y1034" s="1"/>
      <c r="Z1034" s="1">
        <v>2.7000000000000005E-10</v>
      </c>
      <c r="AA1034" s="2"/>
      <c r="AE1034">
        <v>929</v>
      </c>
      <c r="AF1034" s="2"/>
      <c r="AG1034" s="2"/>
      <c r="AK1034" t="s">
        <v>199</v>
      </c>
    </row>
    <row r="1035" spans="1:37" hidden="1" x14ac:dyDescent="0.25">
      <c r="A1035" t="s">
        <v>211</v>
      </c>
      <c r="B1035" t="s">
        <v>212</v>
      </c>
      <c r="C1035" t="s">
        <v>139</v>
      </c>
      <c r="D1035" t="s">
        <v>140</v>
      </c>
      <c r="E1035" t="s">
        <v>17</v>
      </c>
      <c r="F1035" t="s">
        <v>69</v>
      </c>
      <c r="G1035" t="s">
        <v>616</v>
      </c>
      <c r="H1035" t="s">
        <v>760</v>
      </c>
      <c r="I1035" t="s">
        <v>705</v>
      </c>
      <c r="J1035">
        <f t="shared" si="144"/>
        <v>83.5</v>
      </c>
      <c r="K1035" t="s">
        <v>502</v>
      </c>
      <c r="L1035" t="s">
        <v>505</v>
      </c>
      <c r="M1035" t="str">
        <f t="shared" si="145"/>
        <v>Stress</v>
      </c>
      <c r="N1035" t="s">
        <v>36</v>
      </c>
      <c r="O1035" t="str">
        <f t="shared" si="146"/>
        <v>Control</v>
      </c>
      <c r="R1035" t="s">
        <v>408</v>
      </c>
      <c r="S1035" t="s">
        <v>701</v>
      </c>
      <c r="T1035" t="s">
        <v>695</v>
      </c>
      <c r="U1035" t="s">
        <v>609</v>
      </c>
      <c r="V1035" s="1" t="s">
        <v>774</v>
      </c>
      <c r="W1035" s="1">
        <v>2.2999999999999999E-9</v>
      </c>
      <c r="X1035" s="1"/>
      <c r="Y1035" s="1"/>
      <c r="Z1035" s="1">
        <v>3.1000000000000002E-10</v>
      </c>
      <c r="AA1035" s="2"/>
      <c r="AE1035">
        <v>733</v>
      </c>
      <c r="AF1035" s="2"/>
      <c r="AG1035" s="2"/>
      <c r="AK1035" t="s">
        <v>199</v>
      </c>
    </row>
    <row r="1036" spans="1:37" hidden="1" x14ac:dyDescent="0.25">
      <c r="A1036" t="s">
        <v>211</v>
      </c>
      <c r="B1036" t="s">
        <v>212</v>
      </c>
      <c r="C1036" t="s">
        <v>139</v>
      </c>
      <c r="D1036" t="s">
        <v>140</v>
      </c>
      <c r="E1036" t="s">
        <v>17</v>
      </c>
      <c r="F1036" t="s">
        <v>69</v>
      </c>
      <c r="G1036" t="s">
        <v>616</v>
      </c>
      <c r="H1036" t="s">
        <v>760</v>
      </c>
      <c r="I1036" t="s">
        <v>705</v>
      </c>
      <c r="J1036">
        <f t="shared" si="144"/>
        <v>83.5</v>
      </c>
      <c r="K1036" t="s">
        <v>502</v>
      </c>
      <c r="L1036" t="s">
        <v>505</v>
      </c>
      <c r="M1036" t="str">
        <f t="shared" si="145"/>
        <v>Stress</v>
      </c>
      <c r="N1036" t="s">
        <v>503</v>
      </c>
      <c r="O1036" t="str">
        <f t="shared" si="146"/>
        <v>Stress</v>
      </c>
      <c r="R1036" t="s">
        <v>408</v>
      </c>
      <c r="S1036" t="s">
        <v>701</v>
      </c>
      <c r="T1036" t="s">
        <v>695</v>
      </c>
      <c r="U1036" t="s">
        <v>609</v>
      </c>
      <c r="V1036" s="1" t="s">
        <v>774</v>
      </c>
      <c r="W1036" s="1">
        <v>2.4E-9</v>
      </c>
      <c r="X1036" s="1"/>
      <c r="Y1036" s="1"/>
      <c r="Z1036" s="1">
        <v>2.7000000000000005E-10</v>
      </c>
      <c r="AA1036" s="2"/>
      <c r="AE1036">
        <v>864</v>
      </c>
      <c r="AF1036" s="2"/>
      <c r="AG1036" s="2"/>
      <c r="AK1036" t="s">
        <v>199</v>
      </c>
    </row>
    <row r="1037" spans="1:37" hidden="1" x14ac:dyDescent="0.25">
      <c r="A1037" t="s">
        <v>213</v>
      </c>
      <c r="B1037" t="s">
        <v>98</v>
      </c>
      <c r="C1037" t="s">
        <v>99</v>
      </c>
      <c r="D1037" t="s">
        <v>89</v>
      </c>
      <c r="E1037" t="s">
        <v>17</v>
      </c>
      <c r="F1037" t="s">
        <v>618</v>
      </c>
      <c r="G1037" t="s">
        <v>618</v>
      </c>
      <c r="H1037" t="s">
        <v>801</v>
      </c>
      <c r="I1037" t="s">
        <v>804</v>
      </c>
      <c r="J1037">
        <f t="shared" ref="J1037:J1042" si="147">7+14+4</f>
        <v>25</v>
      </c>
      <c r="K1037" t="s">
        <v>81</v>
      </c>
      <c r="L1037" t="s">
        <v>36</v>
      </c>
      <c r="M1037" t="str">
        <f t="shared" si="145"/>
        <v>Control</v>
      </c>
      <c r="R1037" t="s">
        <v>408</v>
      </c>
      <c r="S1037" t="s">
        <v>701</v>
      </c>
      <c r="T1037" t="s">
        <v>695</v>
      </c>
      <c r="U1037" t="s">
        <v>609</v>
      </c>
      <c r="V1037" s="1"/>
      <c r="W1037" s="1"/>
      <c r="X1037" s="1"/>
      <c r="Y1037" s="1"/>
      <c r="Z1037" s="1"/>
      <c r="AA1037" s="1"/>
      <c r="AB1037" s="1">
        <f>[121]Joly_1989_Fig2!B2</f>
        <v>6.68870523415977E-7</v>
      </c>
      <c r="AF1037" s="2"/>
      <c r="AG1037" s="2"/>
      <c r="AH1037" s="2">
        <v>0.2</v>
      </c>
      <c r="AK1037" t="s">
        <v>199</v>
      </c>
    </row>
    <row r="1038" spans="1:37" hidden="1" x14ac:dyDescent="0.25">
      <c r="A1038" t="s">
        <v>213</v>
      </c>
      <c r="B1038" t="s">
        <v>98</v>
      </c>
      <c r="C1038" t="s">
        <v>99</v>
      </c>
      <c r="D1038" t="s">
        <v>89</v>
      </c>
      <c r="E1038" t="s">
        <v>17</v>
      </c>
      <c r="F1038" t="s">
        <v>618</v>
      </c>
      <c r="G1038" t="s">
        <v>618</v>
      </c>
      <c r="H1038" t="s">
        <v>801</v>
      </c>
      <c r="I1038" t="s">
        <v>804</v>
      </c>
      <c r="J1038">
        <f t="shared" si="147"/>
        <v>25</v>
      </c>
      <c r="K1038" t="s">
        <v>81</v>
      </c>
      <c r="L1038" t="s">
        <v>554</v>
      </c>
      <c r="M1038" t="str">
        <f t="shared" si="145"/>
        <v>Stress</v>
      </c>
      <c r="R1038" t="s">
        <v>408</v>
      </c>
      <c r="S1038" t="s">
        <v>701</v>
      </c>
      <c r="T1038" t="s">
        <v>695</v>
      </c>
      <c r="U1038" t="s">
        <v>609</v>
      </c>
      <c r="V1038" s="1"/>
      <c r="W1038" s="1"/>
      <c r="X1038" s="1"/>
      <c r="Y1038" s="1"/>
      <c r="Z1038" s="1"/>
      <c r="AA1038" s="1"/>
      <c r="AB1038" s="1">
        <f>[121]Joly_1989_Fig2!B3</f>
        <v>4.4187327823691401E-7</v>
      </c>
      <c r="AF1038" s="2"/>
      <c r="AG1038" s="2"/>
      <c r="AH1038" s="2">
        <v>0.2</v>
      </c>
      <c r="AK1038" t="s">
        <v>199</v>
      </c>
    </row>
    <row r="1039" spans="1:37" hidden="1" x14ac:dyDescent="0.25">
      <c r="A1039" t="s">
        <v>213</v>
      </c>
      <c r="B1039" t="s">
        <v>98</v>
      </c>
      <c r="C1039" t="s">
        <v>99</v>
      </c>
      <c r="D1039" t="s">
        <v>89</v>
      </c>
      <c r="E1039" t="s">
        <v>17</v>
      </c>
      <c r="F1039" t="s">
        <v>618</v>
      </c>
      <c r="G1039" t="s">
        <v>618</v>
      </c>
      <c r="H1039" t="s">
        <v>801</v>
      </c>
      <c r="I1039" t="s">
        <v>804</v>
      </c>
      <c r="J1039">
        <f t="shared" si="147"/>
        <v>25</v>
      </c>
      <c r="K1039" t="s">
        <v>81</v>
      </c>
      <c r="L1039" t="s">
        <v>555</v>
      </c>
      <c r="M1039" t="str">
        <f t="shared" si="145"/>
        <v>Stress</v>
      </c>
      <c r="R1039" t="s">
        <v>408</v>
      </c>
      <c r="S1039" t="s">
        <v>701</v>
      </c>
      <c r="T1039" t="s">
        <v>695</v>
      </c>
      <c r="U1039" t="s">
        <v>609</v>
      </c>
      <c r="V1039" s="1"/>
      <c r="W1039" s="1"/>
      <c r="X1039" s="1"/>
      <c r="Y1039" s="1"/>
      <c r="Z1039" s="1"/>
      <c r="AA1039" s="1"/>
      <c r="AB1039" s="1">
        <f>[121]Joly_1989_Fig2!B4</f>
        <v>4.9586776859504103E-7</v>
      </c>
      <c r="AF1039" s="2"/>
      <c r="AG1039" s="2"/>
      <c r="AH1039" s="2">
        <v>0.2</v>
      </c>
      <c r="AK1039" t="s">
        <v>199</v>
      </c>
    </row>
    <row r="1040" spans="1:37" hidden="1" x14ac:dyDescent="0.25">
      <c r="A1040" t="s">
        <v>213</v>
      </c>
      <c r="B1040" t="s">
        <v>98</v>
      </c>
      <c r="C1040" t="s">
        <v>99</v>
      </c>
      <c r="D1040" t="s">
        <v>89</v>
      </c>
      <c r="E1040" t="s">
        <v>17</v>
      </c>
      <c r="F1040" t="s">
        <v>618</v>
      </c>
      <c r="G1040" t="s">
        <v>618</v>
      </c>
      <c r="H1040" t="s">
        <v>801</v>
      </c>
      <c r="I1040" t="s">
        <v>804</v>
      </c>
      <c r="J1040">
        <f t="shared" si="147"/>
        <v>25</v>
      </c>
      <c r="K1040" t="s">
        <v>81</v>
      </c>
      <c r="L1040" t="s">
        <v>556</v>
      </c>
      <c r="M1040" t="str">
        <f t="shared" si="145"/>
        <v>Stress</v>
      </c>
      <c r="R1040" t="s">
        <v>408</v>
      </c>
      <c r="S1040" t="s">
        <v>701</v>
      </c>
      <c r="T1040" t="s">
        <v>695</v>
      </c>
      <c r="U1040" t="s">
        <v>609</v>
      </c>
      <c r="V1040" s="1"/>
      <c r="W1040" s="1"/>
      <c r="X1040" s="1"/>
      <c r="Y1040" s="1"/>
      <c r="Z1040" s="1"/>
      <c r="AA1040" s="1"/>
      <c r="AB1040" s="1">
        <f>[121]Joly_1989_Fig2!B5</f>
        <v>2.9531680440771298E-7</v>
      </c>
      <c r="AF1040" s="2"/>
      <c r="AG1040" s="2"/>
      <c r="AH1040" s="2">
        <v>0.2</v>
      </c>
      <c r="AK1040" t="s">
        <v>199</v>
      </c>
    </row>
    <row r="1041" spans="1:37" hidden="1" x14ac:dyDescent="0.25">
      <c r="A1041" t="s">
        <v>213</v>
      </c>
      <c r="B1041" t="s">
        <v>98</v>
      </c>
      <c r="C1041" t="s">
        <v>99</v>
      </c>
      <c r="D1041" t="s">
        <v>89</v>
      </c>
      <c r="E1041" t="s">
        <v>17</v>
      </c>
      <c r="F1041" t="s">
        <v>618</v>
      </c>
      <c r="G1041" t="s">
        <v>618</v>
      </c>
      <c r="H1041" t="s">
        <v>801</v>
      </c>
      <c r="I1041" t="s">
        <v>804</v>
      </c>
      <c r="J1041">
        <f t="shared" si="147"/>
        <v>25</v>
      </c>
      <c r="K1041" t="s">
        <v>81</v>
      </c>
      <c r="L1041" t="s">
        <v>557</v>
      </c>
      <c r="M1041" t="str">
        <f t="shared" si="145"/>
        <v>Stress</v>
      </c>
      <c r="R1041" t="s">
        <v>408</v>
      </c>
      <c r="S1041" t="s">
        <v>701</v>
      </c>
      <c r="T1041" t="s">
        <v>695</v>
      </c>
      <c r="U1041" t="s">
        <v>609</v>
      </c>
      <c r="V1041" s="1"/>
      <c r="W1041" s="1"/>
      <c r="X1041" s="1"/>
      <c r="Y1041" s="1"/>
      <c r="Z1041" s="1"/>
      <c r="AA1041" s="1"/>
      <c r="AB1041" s="1">
        <f>[121]Joly_1989_Fig2!B6</f>
        <v>2.4022038567493098E-7</v>
      </c>
      <c r="AF1041" s="2"/>
      <c r="AG1041" s="2"/>
      <c r="AH1041" s="2">
        <v>0.2</v>
      </c>
      <c r="AK1041" t="s">
        <v>199</v>
      </c>
    </row>
    <row r="1042" spans="1:37" hidden="1" x14ac:dyDescent="0.25">
      <c r="A1042" t="s">
        <v>213</v>
      </c>
      <c r="B1042" t="s">
        <v>98</v>
      </c>
      <c r="C1042" t="s">
        <v>99</v>
      </c>
      <c r="D1042" t="s">
        <v>89</v>
      </c>
      <c r="E1042" t="s">
        <v>17</v>
      </c>
      <c r="F1042" t="s">
        <v>618</v>
      </c>
      <c r="G1042" t="s">
        <v>618</v>
      </c>
      <c r="H1042" t="s">
        <v>801</v>
      </c>
      <c r="I1042" t="s">
        <v>804</v>
      </c>
      <c r="J1042">
        <f t="shared" si="147"/>
        <v>25</v>
      </c>
      <c r="K1042" t="s">
        <v>81</v>
      </c>
      <c r="L1042" t="s">
        <v>558</v>
      </c>
      <c r="M1042" t="str">
        <f t="shared" si="145"/>
        <v>Stress</v>
      </c>
      <c r="R1042" t="s">
        <v>408</v>
      </c>
      <c r="S1042" t="s">
        <v>701</v>
      </c>
      <c r="T1042" t="s">
        <v>695</v>
      </c>
      <c r="U1042" t="s">
        <v>609</v>
      </c>
      <c r="V1042" s="1"/>
      <c r="W1042" s="1"/>
      <c r="X1042" s="1"/>
      <c r="Y1042" s="1"/>
      <c r="Z1042" s="1"/>
      <c r="AA1042" s="1"/>
      <c r="AB1042" s="1">
        <f>[121]Joly_1989_Fig2!B7</f>
        <v>1.9173553719008201E-7</v>
      </c>
      <c r="AF1042" s="2"/>
      <c r="AG1042" s="2"/>
      <c r="AH1042" s="2">
        <v>0.2</v>
      </c>
      <c r="AK1042" t="s">
        <v>199</v>
      </c>
    </row>
    <row r="1043" spans="1:37" hidden="1" x14ac:dyDescent="0.25">
      <c r="A1043" t="s">
        <v>373</v>
      </c>
      <c r="B1043" t="s">
        <v>261</v>
      </c>
      <c r="C1043" t="s">
        <v>195</v>
      </c>
      <c r="D1043" t="s">
        <v>196</v>
      </c>
      <c r="E1043" t="s">
        <v>17</v>
      </c>
      <c r="F1043" t="s">
        <v>262</v>
      </c>
      <c r="G1043" t="s">
        <v>612</v>
      </c>
      <c r="H1043" t="s">
        <v>761</v>
      </c>
      <c r="I1043" t="s">
        <v>705</v>
      </c>
      <c r="J1043">
        <f t="shared" ref="J1043:J1048" si="148">1*365</f>
        <v>365</v>
      </c>
      <c r="K1043" t="s">
        <v>754</v>
      </c>
      <c r="L1043" t="s">
        <v>673</v>
      </c>
      <c r="M1043" t="s">
        <v>707</v>
      </c>
      <c r="R1043" t="s">
        <v>408</v>
      </c>
      <c r="S1043" t="s">
        <v>701</v>
      </c>
      <c r="T1043" t="s">
        <v>695</v>
      </c>
      <c r="U1043" t="s">
        <v>609</v>
      </c>
      <c r="V1043" s="1"/>
      <c r="W1043" s="1"/>
      <c r="X1043" s="1"/>
      <c r="Y1043" s="1"/>
      <c r="Z1043" s="1"/>
      <c r="AA1043" s="1">
        <f>0.00000000464/60</f>
        <v>7.7333333333333325E-11</v>
      </c>
      <c r="AF1043" s="2"/>
      <c r="AG1043" s="2"/>
      <c r="AK1043" t="s">
        <v>199</v>
      </c>
    </row>
    <row r="1044" spans="1:37" hidden="1" x14ac:dyDescent="0.25">
      <c r="A1044" t="s">
        <v>373</v>
      </c>
      <c r="B1044" t="s">
        <v>261</v>
      </c>
      <c r="C1044" t="s">
        <v>195</v>
      </c>
      <c r="D1044" t="s">
        <v>196</v>
      </c>
      <c r="E1044" t="s">
        <v>17</v>
      </c>
      <c r="F1044" t="s">
        <v>262</v>
      </c>
      <c r="G1044" t="s">
        <v>612</v>
      </c>
      <c r="H1044" t="s">
        <v>761</v>
      </c>
      <c r="I1044" t="s">
        <v>705</v>
      </c>
      <c r="J1044">
        <f t="shared" si="148"/>
        <v>365</v>
      </c>
      <c r="K1044" t="s">
        <v>754</v>
      </c>
      <c r="L1044" t="s">
        <v>673</v>
      </c>
      <c r="M1044" t="s">
        <v>707</v>
      </c>
      <c r="R1044" t="s">
        <v>408</v>
      </c>
      <c r="S1044" t="s">
        <v>701</v>
      </c>
      <c r="T1044" t="s">
        <v>695</v>
      </c>
      <c r="U1044" t="s">
        <v>609</v>
      </c>
      <c r="V1044" s="1"/>
      <c r="W1044" s="1"/>
      <c r="X1044" s="1"/>
      <c r="Y1044" s="1"/>
      <c r="Z1044" s="1"/>
      <c r="AA1044" s="1">
        <f>0.00000000937/60</f>
        <v>1.5616666666666667E-10</v>
      </c>
      <c r="AF1044" s="2"/>
      <c r="AG1044" s="2"/>
      <c r="AK1044" t="s">
        <v>199</v>
      </c>
    </row>
    <row r="1045" spans="1:37" hidden="1" x14ac:dyDescent="0.25">
      <c r="A1045" t="s">
        <v>373</v>
      </c>
      <c r="B1045" t="s">
        <v>261</v>
      </c>
      <c r="C1045" t="s">
        <v>195</v>
      </c>
      <c r="D1045" t="s">
        <v>196</v>
      </c>
      <c r="E1045" t="s">
        <v>17</v>
      </c>
      <c r="F1045" t="s">
        <v>262</v>
      </c>
      <c r="G1045" t="s">
        <v>612</v>
      </c>
      <c r="H1045" t="s">
        <v>761</v>
      </c>
      <c r="I1045" t="s">
        <v>705</v>
      </c>
      <c r="J1045">
        <f t="shared" si="148"/>
        <v>365</v>
      </c>
      <c r="K1045" t="s">
        <v>754</v>
      </c>
      <c r="L1045" t="s">
        <v>674</v>
      </c>
      <c r="M1045" t="s">
        <v>707</v>
      </c>
      <c r="R1045" t="s">
        <v>408</v>
      </c>
      <c r="S1045" t="s">
        <v>701</v>
      </c>
      <c r="T1045" t="s">
        <v>695</v>
      </c>
      <c r="U1045" t="s">
        <v>609</v>
      </c>
      <c r="V1045" s="1"/>
      <c r="W1045" s="1"/>
      <c r="X1045" s="1"/>
      <c r="Y1045" s="1"/>
      <c r="Z1045" s="1"/>
      <c r="AA1045" s="1">
        <f>0.0000000098/60</f>
        <v>1.6333333333333334E-10</v>
      </c>
      <c r="AF1045" s="2"/>
      <c r="AG1045" s="2"/>
      <c r="AK1045" t="s">
        <v>199</v>
      </c>
    </row>
    <row r="1046" spans="1:37" hidden="1" x14ac:dyDescent="0.25">
      <c r="A1046" t="s">
        <v>373</v>
      </c>
      <c r="B1046" t="s">
        <v>261</v>
      </c>
      <c r="C1046" t="s">
        <v>195</v>
      </c>
      <c r="D1046" t="s">
        <v>196</v>
      </c>
      <c r="E1046" t="s">
        <v>17</v>
      </c>
      <c r="F1046" t="s">
        <v>262</v>
      </c>
      <c r="G1046" t="s">
        <v>612</v>
      </c>
      <c r="H1046" t="s">
        <v>761</v>
      </c>
      <c r="I1046" t="s">
        <v>705</v>
      </c>
      <c r="J1046">
        <f t="shared" si="148"/>
        <v>365</v>
      </c>
      <c r="K1046" t="s">
        <v>754</v>
      </c>
      <c r="L1046" t="s">
        <v>675</v>
      </c>
      <c r="M1046" t="s">
        <v>707</v>
      </c>
      <c r="R1046" t="s">
        <v>408</v>
      </c>
      <c r="S1046" t="s">
        <v>701</v>
      </c>
      <c r="T1046" t="s">
        <v>695</v>
      </c>
      <c r="U1046" t="s">
        <v>609</v>
      </c>
      <c r="V1046" s="1"/>
      <c r="W1046" s="1"/>
      <c r="X1046" s="1"/>
      <c r="Y1046" s="1"/>
      <c r="Z1046" s="1"/>
      <c r="AA1046" s="1">
        <f>0.0000000121/60</f>
        <v>2.0166666666666667E-10</v>
      </c>
      <c r="AF1046" s="2"/>
      <c r="AG1046" s="2"/>
      <c r="AK1046" t="s">
        <v>199</v>
      </c>
    </row>
    <row r="1047" spans="1:37" hidden="1" x14ac:dyDescent="0.25">
      <c r="A1047" t="s">
        <v>373</v>
      </c>
      <c r="B1047" t="s">
        <v>261</v>
      </c>
      <c r="C1047" t="s">
        <v>195</v>
      </c>
      <c r="D1047" t="s">
        <v>196</v>
      </c>
      <c r="E1047" t="s">
        <v>17</v>
      </c>
      <c r="F1047" t="s">
        <v>262</v>
      </c>
      <c r="G1047" t="s">
        <v>612</v>
      </c>
      <c r="H1047" t="s">
        <v>761</v>
      </c>
      <c r="I1047" t="s">
        <v>705</v>
      </c>
      <c r="J1047">
        <f t="shared" si="148"/>
        <v>365</v>
      </c>
      <c r="K1047" t="s">
        <v>754</v>
      </c>
      <c r="L1047" t="s">
        <v>676</v>
      </c>
      <c r="M1047" t="s">
        <v>707</v>
      </c>
      <c r="R1047" t="s">
        <v>408</v>
      </c>
      <c r="S1047" t="s">
        <v>701</v>
      </c>
      <c r="T1047" t="s">
        <v>695</v>
      </c>
      <c r="U1047" t="s">
        <v>609</v>
      </c>
      <c r="V1047" s="1"/>
      <c r="W1047" s="1"/>
      <c r="X1047" s="1"/>
      <c r="Y1047" s="1"/>
      <c r="Z1047" s="1"/>
      <c r="AA1047" s="1">
        <f>0.00000001913/60</f>
        <v>3.1883333333333332E-10</v>
      </c>
      <c r="AF1047" s="2"/>
      <c r="AG1047" s="2"/>
      <c r="AK1047" t="s">
        <v>199</v>
      </c>
    </row>
    <row r="1048" spans="1:37" hidden="1" x14ac:dyDescent="0.25">
      <c r="A1048" t="s">
        <v>373</v>
      </c>
      <c r="B1048" t="s">
        <v>261</v>
      </c>
      <c r="C1048" t="s">
        <v>195</v>
      </c>
      <c r="D1048" t="s">
        <v>196</v>
      </c>
      <c r="E1048" t="s">
        <v>17</v>
      </c>
      <c r="F1048" t="s">
        <v>262</v>
      </c>
      <c r="G1048" t="s">
        <v>612</v>
      </c>
      <c r="H1048" t="s">
        <v>761</v>
      </c>
      <c r="I1048" t="s">
        <v>705</v>
      </c>
      <c r="J1048">
        <f t="shared" si="148"/>
        <v>365</v>
      </c>
      <c r="K1048" t="s">
        <v>754</v>
      </c>
      <c r="L1048" t="s">
        <v>677</v>
      </c>
      <c r="M1048" t="s">
        <v>707</v>
      </c>
      <c r="R1048" t="s">
        <v>408</v>
      </c>
      <c r="S1048" t="s">
        <v>701</v>
      </c>
      <c r="T1048" t="s">
        <v>695</v>
      </c>
      <c r="U1048" t="s">
        <v>609</v>
      </c>
      <c r="V1048" s="1"/>
      <c r="W1048" s="1"/>
      <c r="X1048" s="1"/>
      <c r="Y1048" s="1"/>
      <c r="Z1048" s="1"/>
      <c r="AA1048" s="1">
        <f>0.00000001754/60</f>
        <v>2.9233333333333336E-10</v>
      </c>
      <c r="AF1048" s="2"/>
      <c r="AG1048" s="2"/>
      <c r="AK1048" t="s">
        <v>199</v>
      </c>
    </row>
    <row r="1049" spans="1:37" hidden="1" x14ac:dyDescent="0.25">
      <c r="A1049" t="s">
        <v>214</v>
      </c>
      <c r="B1049" t="s">
        <v>215</v>
      </c>
      <c r="C1049" t="s">
        <v>216</v>
      </c>
      <c r="D1049" t="s">
        <v>89</v>
      </c>
      <c r="E1049" t="s">
        <v>17</v>
      </c>
      <c r="F1049" t="s">
        <v>618</v>
      </c>
      <c r="G1049" t="s">
        <v>618</v>
      </c>
      <c r="H1049" t="s">
        <v>801</v>
      </c>
      <c r="I1049" t="s">
        <v>804</v>
      </c>
      <c r="K1049" t="s">
        <v>204</v>
      </c>
      <c r="L1049" t="s">
        <v>36</v>
      </c>
      <c r="M1049" t="str">
        <f t="shared" ref="M1049:M1056" si="149">+IF(L1049 = "Control", "Control", "Stress")</f>
        <v>Control</v>
      </c>
      <c r="R1049" t="s">
        <v>408</v>
      </c>
      <c r="S1049" t="s">
        <v>701</v>
      </c>
      <c r="T1049" t="s">
        <v>695</v>
      </c>
      <c r="U1049" t="s">
        <v>609</v>
      </c>
      <c r="V1049" s="1"/>
      <c r="W1049" s="1"/>
      <c r="X1049" s="1"/>
      <c r="Y1049" s="1"/>
      <c r="Z1049" s="1"/>
      <c r="AA1049" s="1"/>
      <c r="AB1049" s="1">
        <f>'[122]Tissera&amp;Ayres_1988_Fig2'!B2</f>
        <v>6.9653299916457694E-8</v>
      </c>
      <c r="AF1049" s="2"/>
      <c r="AG1049" s="2"/>
      <c r="AK1049" t="s">
        <v>199</v>
      </c>
    </row>
    <row r="1050" spans="1:37" hidden="1" x14ac:dyDescent="0.25">
      <c r="A1050" t="s">
        <v>214</v>
      </c>
      <c r="B1050" t="s">
        <v>215</v>
      </c>
      <c r="C1050" t="s">
        <v>216</v>
      </c>
      <c r="D1050" t="s">
        <v>89</v>
      </c>
      <c r="E1050" t="s">
        <v>17</v>
      </c>
      <c r="F1050" t="s">
        <v>618</v>
      </c>
      <c r="G1050" t="s">
        <v>618</v>
      </c>
      <c r="H1050" t="s">
        <v>801</v>
      </c>
      <c r="I1050" t="s">
        <v>804</v>
      </c>
      <c r="K1050" t="s">
        <v>204</v>
      </c>
      <c r="L1050" t="s">
        <v>36</v>
      </c>
      <c r="M1050" t="str">
        <f t="shared" si="149"/>
        <v>Control</v>
      </c>
      <c r="R1050" t="s">
        <v>408</v>
      </c>
      <c r="S1050" t="s">
        <v>701</v>
      </c>
      <c r="T1050" t="s">
        <v>695</v>
      </c>
      <c r="U1050" t="s">
        <v>609</v>
      </c>
      <c r="V1050" s="1"/>
      <c r="W1050" s="1"/>
      <c r="X1050" s="1"/>
      <c r="Y1050" s="1"/>
      <c r="Z1050" s="1"/>
      <c r="AA1050" s="1"/>
      <c r="AB1050" s="1">
        <f>'[122]Tissera&amp;Ayres_1988_Fig2'!B3</f>
        <v>7.5657894736842101E-8</v>
      </c>
      <c r="AF1050" s="2"/>
      <c r="AG1050" s="2"/>
      <c r="AK1050" t="s">
        <v>199</v>
      </c>
    </row>
    <row r="1051" spans="1:37" hidden="1" x14ac:dyDescent="0.25">
      <c r="A1051" t="s">
        <v>214</v>
      </c>
      <c r="B1051" t="s">
        <v>215</v>
      </c>
      <c r="C1051" t="s">
        <v>216</v>
      </c>
      <c r="D1051" t="s">
        <v>89</v>
      </c>
      <c r="E1051" t="s">
        <v>17</v>
      </c>
      <c r="F1051" t="s">
        <v>618</v>
      </c>
      <c r="G1051" t="s">
        <v>618</v>
      </c>
      <c r="H1051" t="s">
        <v>801</v>
      </c>
      <c r="I1051" t="s">
        <v>804</v>
      </c>
      <c r="K1051" t="s">
        <v>204</v>
      </c>
      <c r="L1051" t="s">
        <v>36</v>
      </c>
      <c r="M1051" t="str">
        <f t="shared" si="149"/>
        <v>Control</v>
      </c>
      <c r="R1051" t="s">
        <v>408</v>
      </c>
      <c r="S1051" t="s">
        <v>701</v>
      </c>
      <c r="T1051" t="s">
        <v>695</v>
      </c>
      <c r="U1051" t="s">
        <v>609</v>
      </c>
      <c r="V1051" s="1"/>
      <c r="W1051" s="1"/>
      <c r="X1051" s="1"/>
      <c r="Y1051" s="1"/>
      <c r="Z1051" s="1"/>
      <c r="AA1051" s="1"/>
      <c r="AB1051" s="1">
        <f>'[122]Tissera&amp;Ayres_1988_Fig2'!B4</f>
        <v>9.0016708437761004E-8</v>
      </c>
      <c r="AF1051" s="2"/>
      <c r="AG1051" s="2"/>
      <c r="AK1051" t="s">
        <v>199</v>
      </c>
    </row>
    <row r="1052" spans="1:37" hidden="1" x14ac:dyDescent="0.25">
      <c r="A1052" t="s">
        <v>214</v>
      </c>
      <c r="B1052" t="s">
        <v>215</v>
      </c>
      <c r="C1052" t="s">
        <v>216</v>
      </c>
      <c r="D1052" t="s">
        <v>89</v>
      </c>
      <c r="E1052" t="s">
        <v>17</v>
      </c>
      <c r="F1052" t="s">
        <v>618</v>
      </c>
      <c r="G1052" t="s">
        <v>618</v>
      </c>
      <c r="H1052" t="s">
        <v>801</v>
      </c>
      <c r="I1052" t="s">
        <v>804</v>
      </c>
      <c r="K1052" t="s">
        <v>204</v>
      </c>
      <c r="L1052" t="s">
        <v>36</v>
      </c>
      <c r="M1052" t="str">
        <f t="shared" si="149"/>
        <v>Control</v>
      </c>
      <c r="R1052" t="s">
        <v>408</v>
      </c>
      <c r="S1052" t="s">
        <v>701</v>
      </c>
      <c r="T1052" t="s">
        <v>695</v>
      </c>
      <c r="U1052" t="s">
        <v>609</v>
      </c>
      <c r="V1052" s="1"/>
      <c r="W1052" s="1"/>
      <c r="X1052" s="1"/>
      <c r="Y1052" s="1"/>
      <c r="Z1052" s="1"/>
      <c r="AA1052" s="1"/>
      <c r="AB1052" s="1">
        <f>'[122]Tissera&amp;Ayres_1988_Fig2'!B5</f>
        <v>9.4193817878028306E-8</v>
      </c>
      <c r="AF1052" s="2"/>
      <c r="AG1052" s="2"/>
      <c r="AK1052" t="s">
        <v>199</v>
      </c>
    </row>
    <row r="1053" spans="1:37" hidden="1" x14ac:dyDescent="0.25">
      <c r="A1053" t="s">
        <v>214</v>
      </c>
      <c r="B1053" t="s">
        <v>215</v>
      </c>
      <c r="C1053" t="s">
        <v>216</v>
      </c>
      <c r="D1053" t="s">
        <v>89</v>
      </c>
      <c r="E1053" t="s">
        <v>17</v>
      </c>
      <c r="F1053" t="s">
        <v>618</v>
      </c>
      <c r="G1053" t="s">
        <v>618</v>
      </c>
      <c r="H1053" t="s">
        <v>801</v>
      </c>
      <c r="I1053" t="s">
        <v>804</v>
      </c>
      <c r="K1053" t="s">
        <v>204</v>
      </c>
      <c r="L1053" t="s">
        <v>205</v>
      </c>
      <c r="M1053" t="str">
        <f t="shared" si="149"/>
        <v>Stress</v>
      </c>
      <c r="R1053" t="s">
        <v>408</v>
      </c>
      <c r="S1053" t="s">
        <v>701</v>
      </c>
      <c r="T1053" t="s">
        <v>695</v>
      </c>
      <c r="U1053" t="s">
        <v>609</v>
      </c>
      <c r="V1053" s="1"/>
      <c r="W1053" s="1"/>
      <c r="X1053" s="1"/>
      <c r="Y1053" s="1"/>
      <c r="Z1053" s="1"/>
      <c r="AA1053" s="1"/>
      <c r="AB1053" s="1">
        <f>'[122]Tissera&amp;Ayres_1988_Fig2'!B6</f>
        <v>1.09596908939014E-7</v>
      </c>
      <c r="AF1053" s="2"/>
      <c r="AG1053" s="2"/>
      <c r="AK1053" t="s">
        <v>199</v>
      </c>
    </row>
    <row r="1054" spans="1:37" hidden="1" x14ac:dyDescent="0.25">
      <c r="A1054" t="s">
        <v>214</v>
      </c>
      <c r="B1054" t="s">
        <v>215</v>
      </c>
      <c r="C1054" t="s">
        <v>216</v>
      </c>
      <c r="D1054" t="s">
        <v>89</v>
      </c>
      <c r="E1054" t="s">
        <v>17</v>
      </c>
      <c r="F1054" t="s">
        <v>618</v>
      </c>
      <c r="G1054" t="s">
        <v>618</v>
      </c>
      <c r="H1054" t="s">
        <v>801</v>
      </c>
      <c r="I1054" t="s">
        <v>804</v>
      </c>
      <c r="K1054" t="s">
        <v>204</v>
      </c>
      <c r="L1054" t="s">
        <v>205</v>
      </c>
      <c r="M1054" t="str">
        <f t="shared" si="149"/>
        <v>Stress</v>
      </c>
      <c r="R1054" t="s">
        <v>408</v>
      </c>
      <c r="S1054" t="s">
        <v>701</v>
      </c>
      <c r="T1054" t="s">
        <v>695</v>
      </c>
      <c r="U1054" t="s">
        <v>609</v>
      </c>
      <c r="V1054" s="1"/>
      <c r="W1054" s="1"/>
      <c r="X1054" s="1"/>
      <c r="Y1054" s="1"/>
      <c r="Z1054" s="1"/>
      <c r="AA1054" s="1"/>
      <c r="AB1054" s="1">
        <f>'[122]Tissera&amp;Ayres_1988_Fig2'!B7</f>
        <v>1.09335839598997E-7</v>
      </c>
      <c r="AF1054" s="2"/>
      <c r="AG1054" s="2"/>
      <c r="AK1054" t="s">
        <v>199</v>
      </c>
    </row>
    <row r="1055" spans="1:37" hidden="1" x14ac:dyDescent="0.25">
      <c r="A1055" t="s">
        <v>214</v>
      </c>
      <c r="B1055" t="s">
        <v>215</v>
      </c>
      <c r="C1055" t="s">
        <v>216</v>
      </c>
      <c r="D1055" t="s">
        <v>89</v>
      </c>
      <c r="E1055" t="s">
        <v>17</v>
      </c>
      <c r="F1055" t="s">
        <v>618</v>
      </c>
      <c r="G1055" t="s">
        <v>618</v>
      </c>
      <c r="H1055" t="s">
        <v>801</v>
      </c>
      <c r="I1055" t="s">
        <v>804</v>
      </c>
      <c r="K1055" t="s">
        <v>204</v>
      </c>
      <c r="L1055" t="s">
        <v>205</v>
      </c>
      <c r="M1055" t="str">
        <f t="shared" si="149"/>
        <v>Stress</v>
      </c>
      <c r="R1055" t="s">
        <v>408</v>
      </c>
      <c r="S1055" t="s">
        <v>701</v>
      </c>
      <c r="T1055" t="s">
        <v>695</v>
      </c>
      <c r="U1055" t="s">
        <v>609</v>
      </c>
      <c r="V1055" s="1"/>
      <c r="W1055" s="1"/>
      <c r="X1055" s="1"/>
      <c r="Y1055" s="1"/>
      <c r="Z1055" s="1"/>
      <c r="AA1055" s="1"/>
      <c r="AB1055" s="1">
        <f>'[122]Tissera&amp;Ayres_1988_Fig2'!B8</f>
        <v>1.5006265664160301E-7</v>
      </c>
      <c r="AF1055" s="2"/>
      <c r="AG1055" s="2"/>
      <c r="AK1055" t="s">
        <v>199</v>
      </c>
    </row>
    <row r="1056" spans="1:37" hidden="1" x14ac:dyDescent="0.25">
      <c r="A1056" t="s">
        <v>214</v>
      </c>
      <c r="B1056" t="s">
        <v>215</v>
      </c>
      <c r="C1056" t="s">
        <v>216</v>
      </c>
      <c r="D1056" t="s">
        <v>89</v>
      </c>
      <c r="E1056" t="s">
        <v>17</v>
      </c>
      <c r="F1056" t="s">
        <v>618</v>
      </c>
      <c r="G1056" t="s">
        <v>618</v>
      </c>
      <c r="H1056" t="s">
        <v>801</v>
      </c>
      <c r="I1056" t="s">
        <v>804</v>
      </c>
      <c r="K1056" t="s">
        <v>204</v>
      </c>
      <c r="L1056" t="s">
        <v>205</v>
      </c>
      <c r="M1056" t="str">
        <f t="shared" si="149"/>
        <v>Stress</v>
      </c>
      <c r="R1056" t="s">
        <v>408</v>
      </c>
      <c r="S1056" t="s">
        <v>701</v>
      </c>
      <c r="T1056" t="s">
        <v>695</v>
      </c>
      <c r="U1056" t="s">
        <v>609</v>
      </c>
      <c r="V1056" s="1"/>
      <c r="W1056" s="1"/>
      <c r="X1056" s="1"/>
      <c r="Y1056" s="1"/>
      <c r="Z1056" s="1"/>
      <c r="AA1056" s="1"/>
      <c r="AB1056" s="1">
        <f>'[122]Tissera&amp;Ayres_1988_Fig2'!B9</f>
        <v>1.5058479532163701E-7</v>
      </c>
      <c r="AF1056" s="2"/>
      <c r="AG1056" s="2"/>
      <c r="AK1056" t="s">
        <v>199</v>
      </c>
    </row>
    <row r="1057" spans="1:37" hidden="1" x14ac:dyDescent="0.25">
      <c r="A1057" t="s">
        <v>708</v>
      </c>
      <c r="B1057" t="s">
        <v>102</v>
      </c>
      <c r="C1057" t="s">
        <v>75</v>
      </c>
      <c r="D1057" t="s">
        <v>16</v>
      </c>
      <c r="E1057" t="s">
        <v>29</v>
      </c>
      <c r="F1057" t="s">
        <v>18</v>
      </c>
      <c r="G1057" t="s">
        <v>18</v>
      </c>
      <c r="H1057" t="s">
        <v>18</v>
      </c>
      <c r="I1057" t="s">
        <v>704</v>
      </c>
      <c r="J1057">
        <f>+AVERAGE(4,10)</f>
        <v>7</v>
      </c>
      <c r="K1057" t="s">
        <v>756</v>
      </c>
      <c r="L1057" t="s">
        <v>756</v>
      </c>
      <c r="M1057" t="s">
        <v>756</v>
      </c>
      <c r="R1057" t="s">
        <v>408</v>
      </c>
      <c r="S1057" t="s">
        <v>701</v>
      </c>
      <c r="T1057" t="s">
        <v>695</v>
      </c>
      <c r="U1057" t="s">
        <v>610</v>
      </c>
      <c r="V1057" s="1"/>
      <c r="W1057" s="1"/>
      <c r="X1057" s="1"/>
      <c r="Y1057" s="1"/>
      <c r="Z1057" s="1"/>
      <c r="AA1057" s="1"/>
      <c r="AB1057" s="1">
        <v>2E-8</v>
      </c>
      <c r="AF1057" s="2"/>
      <c r="AG1057" s="2"/>
      <c r="AK1057" t="s">
        <v>709</v>
      </c>
    </row>
    <row r="1058" spans="1:37" hidden="1" x14ac:dyDescent="0.25">
      <c r="A1058" t="s">
        <v>217</v>
      </c>
      <c r="B1058" t="s">
        <v>218</v>
      </c>
      <c r="C1058" t="s">
        <v>179</v>
      </c>
      <c r="D1058" t="s">
        <v>22</v>
      </c>
      <c r="E1058" t="s">
        <v>17</v>
      </c>
      <c r="F1058" t="s">
        <v>69</v>
      </c>
      <c r="G1058" t="s">
        <v>616</v>
      </c>
      <c r="H1058" t="s">
        <v>760</v>
      </c>
      <c r="I1058" t="s">
        <v>705</v>
      </c>
      <c r="J1058">
        <f>+AVERAGE(37,40)</f>
        <v>38.5</v>
      </c>
      <c r="K1058" t="s">
        <v>209</v>
      </c>
      <c r="L1058" t="s">
        <v>349</v>
      </c>
      <c r="M1058" t="s">
        <v>707</v>
      </c>
      <c r="R1058" t="s">
        <v>408</v>
      </c>
      <c r="S1058" t="s">
        <v>701</v>
      </c>
      <c r="T1058" t="s">
        <v>695</v>
      </c>
      <c r="U1058" t="s">
        <v>609</v>
      </c>
      <c r="V1058" s="1"/>
      <c r="W1058" s="1"/>
      <c r="X1058" s="1"/>
      <c r="Y1058" s="1"/>
      <c r="Z1058" s="1">
        <v>1.73E-10</v>
      </c>
      <c r="AA1058" s="1"/>
      <c r="AF1058" s="2"/>
      <c r="AG1058" s="2"/>
      <c r="AK1058" t="s">
        <v>199</v>
      </c>
    </row>
    <row r="1059" spans="1:37" hidden="1" x14ac:dyDescent="0.25">
      <c r="A1059" t="s">
        <v>217</v>
      </c>
      <c r="B1059" t="s">
        <v>218</v>
      </c>
      <c r="C1059" t="s">
        <v>179</v>
      </c>
      <c r="D1059" t="s">
        <v>22</v>
      </c>
      <c r="E1059" t="s">
        <v>17</v>
      </c>
      <c r="F1059" t="s">
        <v>69</v>
      </c>
      <c r="G1059" t="s">
        <v>616</v>
      </c>
      <c r="H1059" t="s">
        <v>760</v>
      </c>
      <c r="I1059" t="s">
        <v>705</v>
      </c>
      <c r="J1059">
        <f>+AVERAGE(37,40)</f>
        <v>38.5</v>
      </c>
      <c r="K1059" t="s">
        <v>209</v>
      </c>
      <c r="L1059" t="s">
        <v>210</v>
      </c>
      <c r="M1059" t="s">
        <v>707</v>
      </c>
      <c r="R1059" t="s">
        <v>408</v>
      </c>
      <c r="S1059" t="s">
        <v>701</v>
      </c>
      <c r="T1059" t="s">
        <v>695</v>
      </c>
      <c r="U1059" t="s">
        <v>609</v>
      </c>
      <c r="V1059" s="1"/>
      <c r="W1059" s="1"/>
      <c r="X1059" s="1"/>
      <c r="Y1059" s="1"/>
      <c r="Z1059" s="1">
        <v>2.4700000000000003E-10</v>
      </c>
      <c r="AA1059" s="1"/>
      <c r="AF1059" s="2"/>
      <c r="AG1059" s="2"/>
      <c r="AK1059" t="s">
        <v>199</v>
      </c>
    </row>
    <row r="1060" spans="1:37" hidden="1" x14ac:dyDescent="0.25">
      <c r="A1060" t="s">
        <v>217</v>
      </c>
      <c r="B1060" t="s">
        <v>218</v>
      </c>
      <c r="C1060" t="s">
        <v>179</v>
      </c>
      <c r="D1060" t="s">
        <v>22</v>
      </c>
      <c r="E1060" t="s">
        <v>17</v>
      </c>
      <c r="F1060" t="s">
        <v>69</v>
      </c>
      <c r="G1060" t="s">
        <v>616</v>
      </c>
      <c r="H1060" t="s">
        <v>760</v>
      </c>
      <c r="I1060" t="s">
        <v>705</v>
      </c>
      <c r="J1060">
        <f>+AVERAGE(44,47)</f>
        <v>45.5</v>
      </c>
      <c r="K1060" t="s">
        <v>209</v>
      </c>
      <c r="L1060" t="s">
        <v>349</v>
      </c>
      <c r="M1060" t="s">
        <v>707</v>
      </c>
      <c r="R1060" t="s">
        <v>408</v>
      </c>
      <c r="S1060" t="s">
        <v>701</v>
      </c>
      <c r="T1060" t="s">
        <v>695</v>
      </c>
      <c r="U1060" t="s">
        <v>609</v>
      </c>
      <c r="V1060" s="1"/>
      <c r="W1060" s="1"/>
      <c r="X1060" s="1"/>
      <c r="Y1060" s="1"/>
      <c r="Z1060" s="1">
        <v>1.16E-10</v>
      </c>
      <c r="AA1060" s="1"/>
      <c r="AF1060" s="2"/>
      <c r="AG1060" s="2"/>
      <c r="AK1060" t="s">
        <v>199</v>
      </c>
    </row>
    <row r="1061" spans="1:37" hidden="1" x14ac:dyDescent="0.25">
      <c r="A1061" t="s">
        <v>217</v>
      </c>
      <c r="B1061" t="s">
        <v>218</v>
      </c>
      <c r="C1061" t="s">
        <v>179</v>
      </c>
      <c r="D1061" t="s">
        <v>22</v>
      </c>
      <c r="E1061" t="s">
        <v>17</v>
      </c>
      <c r="F1061" t="s">
        <v>69</v>
      </c>
      <c r="G1061" t="s">
        <v>616</v>
      </c>
      <c r="H1061" t="s">
        <v>760</v>
      </c>
      <c r="I1061" t="s">
        <v>705</v>
      </c>
      <c r="J1061">
        <f>+AVERAGE(44,47)</f>
        <v>45.5</v>
      </c>
      <c r="K1061" t="s">
        <v>209</v>
      </c>
      <c r="L1061" t="s">
        <v>210</v>
      </c>
      <c r="M1061" t="s">
        <v>707</v>
      </c>
      <c r="R1061" t="s">
        <v>408</v>
      </c>
      <c r="S1061" t="s">
        <v>701</v>
      </c>
      <c r="T1061" t="s">
        <v>695</v>
      </c>
      <c r="U1061" t="s">
        <v>609</v>
      </c>
      <c r="V1061" s="1"/>
      <c r="W1061" s="1"/>
      <c r="X1061" s="1"/>
      <c r="Y1061" s="1"/>
      <c r="Z1061" s="1">
        <v>1.5900000000000002E-10</v>
      </c>
      <c r="AA1061" s="1"/>
      <c r="AF1061" s="2"/>
      <c r="AG1061" s="2"/>
      <c r="AK1061" t="s">
        <v>199</v>
      </c>
    </row>
    <row r="1062" spans="1:37" hidden="1" x14ac:dyDescent="0.25">
      <c r="A1062" t="s">
        <v>217</v>
      </c>
      <c r="B1062" t="s">
        <v>218</v>
      </c>
      <c r="C1062" t="s">
        <v>179</v>
      </c>
      <c r="D1062" t="s">
        <v>22</v>
      </c>
      <c r="E1062" t="s">
        <v>17</v>
      </c>
      <c r="F1062" t="s">
        <v>69</v>
      </c>
      <c r="G1062" t="s">
        <v>616</v>
      </c>
      <c r="H1062" t="s">
        <v>760</v>
      </c>
      <c r="I1062" t="s">
        <v>705</v>
      </c>
      <c r="J1062">
        <f>+AVERAGE(52,55)</f>
        <v>53.5</v>
      </c>
      <c r="K1062" t="s">
        <v>209</v>
      </c>
      <c r="L1062" t="s">
        <v>349</v>
      </c>
      <c r="M1062" t="s">
        <v>707</v>
      </c>
      <c r="R1062" t="s">
        <v>408</v>
      </c>
      <c r="S1062" t="s">
        <v>701</v>
      </c>
      <c r="T1062" t="s">
        <v>695</v>
      </c>
      <c r="U1062" t="s">
        <v>609</v>
      </c>
      <c r="V1062" s="1"/>
      <c r="W1062" s="1"/>
      <c r="X1062" s="1"/>
      <c r="Y1062" s="1"/>
      <c r="Z1062" s="1">
        <v>1.0200000000000001E-10</v>
      </c>
      <c r="AA1062" s="1"/>
      <c r="AF1062" s="2"/>
      <c r="AG1062" s="2"/>
      <c r="AK1062" t="s">
        <v>199</v>
      </c>
    </row>
    <row r="1063" spans="1:37" hidden="1" x14ac:dyDescent="0.25">
      <c r="A1063" t="s">
        <v>217</v>
      </c>
      <c r="B1063" t="s">
        <v>218</v>
      </c>
      <c r="C1063" t="s">
        <v>179</v>
      </c>
      <c r="D1063" t="s">
        <v>22</v>
      </c>
      <c r="E1063" t="s">
        <v>17</v>
      </c>
      <c r="F1063" t="s">
        <v>69</v>
      </c>
      <c r="G1063" t="s">
        <v>616</v>
      </c>
      <c r="H1063" t="s">
        <v>760</v>
      </c>
      <c r="I1063" t="s">
        <v>705</v>
      </c>
      <c r="J1063">
        <f>+AVERAGE(52,55)</f>
        <v>53.5</v>
      </c>
      <c r="K1063" t="s">
        <v>209</v>
      </c>
      <c r="L1063" t="s">
        <v>210</v>
      </c>
      <c r="M1063" t="s">
        <v>707</v>
      </c>
      <c r="R1063" t="s">
        <v>408</v>
      </c>
      <c r="S1063" t="s">
        <v>701</v>
      </c>
      <c r="T1063" t="s">
        <v>695</v>
      </c>
      <c r="U1063" t="s">
        <v>609</v>
      </c>
      <c r="V1063" s="1"/>
      <c r="W1063" s="1"/>
      <c r="X1063" s="1"/>
      <c r="Y1063" s="1"/>
      <c r="Z1063" s="1">
        <v>9.3000000000000002E-11</v>
      </c>
      <c r="AA1063" s="1"/>
      <c r="AF1063" s="2"/>
      <c r="AG1063" s="2"/>
      <c r="AK1063" t="s">
        <v>199</v>
      </c>
    </row>
    <row r="1064" spans="1:37" hidden="1" x14ac:dyDescent="0.25">
      <c r="A1064" t="s">
        <v>217</v>
      </c>
      <c r="B1064" t="s">
        <v>218</v>
      </c>
      <c r="C1064" t="s">
        <v>179</v>
      </c>
      <c r="D1064" t="s">
        <v>22</v>
      </c>
      <c r="E1064" t="s">
        <v>17</v>
      </c>
      <c r="F1064" t="s">
        <v>69</v>
      </c>
      <c r="G1064" t="s">
        <v>616</v>
      </c>
      <c r="H1064" t="s">
        <v>760</v>
      </c>
      <c r="I1064" t="s">
        <v>705</v>
      </c>
      <c r="J1064">
        <f>+AVERAGE(66,68)</f>
        <v>67</v>
      </c>
      <c r="K1064" t="s">
        <v>209</v>
      </c>
      <c r="L1064" t="s">
        <v>349</v>
      </c>
      <c r="M1064" t="s">
        <v>707</v>
      </c>
      <c r="R1064" t="s">
        <v>408</v>
      </c>
      <c r="S1064" t="s">
        <v>701</v>
      </c>
      <c r="T1064" t="s">
        <v>695</v>
      </c>
      <c r="U1064" t="s">
        <v>609</v>
      </c>
      <c r="V1064" s="1"/>
      <c r="W1064" s="1"/>
      <c r="X1064" s="1"/>
      <c r="Y1064" s="1"/>
      <c r="Z1064" s="1">
        <v>7.3000000000000006E-11</v>
      </c>
      <c r="AA1064" s="1"/>
      <c r="AF1064" s="2"/>
      <c r="AG1064" s="2"/>
      <c r="AK1064" t="s">
        <v>199</v>
      </c>
    </row>
    <row r="1065" spans="1:37" hidden="1" x14ac:dyDescent="0.25">
      <c r="A1065" t="s">
        <v>217</v>
      </c>
      <c r="B1065" t="s">
        <v>218</v>
      </c>
      <c r="C1065" t="s">
        <v>179</v>
      </c>
      <c r="D1065" t="s">
        <v>22</v>
      </c>
      <c r="E1065" t="s">
        <v>17</v>
      </c>
      <c r="F1065" t="s">
        <v>69</v>
      </c>
      <c r="G1065" t="s">
        <v>616</v>
      </c>
      <c r="H1065" t="s">
        <v>760</v>
      </c>
      <c r="I1065" t="s">
        <v>705</v>
      </c>
      <c r="J1065">
        <f>+AVERAGE(66,68)</f>
        <v>67</v>
      </c>
      <c r="K1065" t="s">
        <v>209</v>
      </c>
      <c r="L1065" t="s">
        <v>210</v>
      </c>
      <c r="M1065" t="s">
        <v>707</v>
      </c>
      <c r="R1065" t="s">
        <v>408</v>
      </c>
      <c r="S1065" t="s">
        <v>701</v>
      </c>
      <c r="T1065" t="s">
        <v>695</v>
      </c>
      <c r="U1065" t="s">
        <v>609</v>
      </c>
      <c r="V1065" s="1"/>
      <c r="W1065" s="1"/>
      <c r="X1065" s="1"/>
      <c r="Y1065" s="1"/>
      <c r="Z1065" s="1">
        <v>1.2500000000000001E-10</v>
      </c>
      <c r="AA1065" s="1"/>
      <c r="AF1065" s="2"/>
      <c r="AG1065" s="2"/>
      <c r="AK1065" t="s">
        <v>199</v>
      </c>
    </row>
    <row r="1066" spans="1:37" hidden="1" x14ac:dyDescent="0.25">
      <c r="A1066" t="s">
        <v>219</v>
      </c>
      <c r="B1066" t="s">
        <v>220</v>
      </c>
      <c r="C1066" t="s">
        <v>221</v>
      </c>
      <c r="D1066" t="s">
        <v>89</v>
      </c>
      <c r="E1066" t="s">
        <v>17</v>
      </c>
      <c r="F1066" t="s">
        <v>618</v>
      </c>
      <c r="G1066" t="s">
        <v>618</v>
      </c>
      <c r="H1066" t="s">
        <v>801</v>
      </c>
      <c r="I1066" t="s">
        <v>804</v>
      </c>
      <c r="K1066" t="s">
        <v>748</v>
      </c>
      <c r="L1066" t="s">
        <v>678</v>
      </c>
      <c r="M1066" t="s">
        <v>707</v>
      </c>
      <c r="R1066" t="s">
        <v>408</v>
      </c>
      <c r="S1066" t="s">
        <v>701</v>
      </c>
      <c r="T1066" t="s">
        <v>695</v>
      </c>
      <c r="U1066" t="s">
        <v>609</v>
      </c>
      <c r="V1066" s="1" t="s">
        <v>733</v>
      </c>
      <c r="W1066" s="1">
        <f t="shared" ref="W1066:W1080" si="150">+AB1066*AD1066/10000</f>
        <v>9.965666467369086E-8</v>
      </c>
      <c r="X1066" s="1"/>
      <c r="Y1066" s="1"/>
      <c r="Z1066" s="1"/>
      <c r="AA1066" s="1"/>
      <c r="AB1066" s="1">
        <f>[123]Fiscus_1986_Fig5!B2</f>
        <v>3.1637036404346302E-7</v>
      </c>
      <c r="AC1066" s="1"/>
      <c r="AD1066">
        <v>3150</v>
      </c>
      <c r="AF1066" s="2"/>
      <c r="AG1066" s="2"/>
      <c r="AI1066" s="5">
        <v>0.315</v>
      </c>
      <c r="AK1066" t="s">
        <v>199</v>
      </c>
    </row>
    <row r="1067" spans="1:37" hidden="1" x14ac:dyDescent="0.25">
      <c r="A1067" t="s">
        <v>219</v>
      </c>
      <c r="B1067" t="s">
        <v>220</v>
      </c>
      <c r="C1067" t="s">
        <v>221</v>
      </c>
      <c r="D1067" t="s">
        <v>89</v>
      </c>
      <c r="E1067" t="s">
        <v>17</v>
      </c>
      <c r="F1067" t="s">
        <v>618</v>
      </c>
      <c r="G1067" t="s">
        <v>618</v>
      </c>
      <c r="H1067" t="s">
        <v>801</v>
      </c>
      <c r="I1067" t="s">
        <v>804</v>
      </c>
      <c r="K1067" t="s">
        <v>748</v>
      </c>
      <c r="L1067" t="s">
        <v>679</v>
      </c>
      <c r="M1067" t="s">
        <v>707</v>
      </c>
      <c r="R1067" t="s">
        <v>408</v>
      </c>
      <c r="S1067" t="s">
        <v>701</v>
      </c>
      <c r="T1067" t="s">
        <v>695</v>
      </c>
      <c r="U1067" t="s">
        <v>609</v>
      </c>
      <c r="V1067" s="1" t="s">
        <v>733</v>
      </c>
      <c r="W1067" s="1">
        <f t="shared" si="150"/>
        <v>9.3933357838800789E-8</v>
      </c>
      <c r="X1067" s="1"/>
      <c r="Y1067" s="1"/>
      <c r="Z1067" s="1"/>
      <c r="AA1067" s="1"/>
      <c r="AB1067" s="1">
        <f>[123]Fiscus_1986_Fig5!B3</f>
        <v>2.9820113599619301E-7</v>
      </c>
      <c r="AC1067" s="1"/>
      <c r="AD1067">
        <v>3150</v>
      </c>
      <c r="AF1067" s="2"/>
      <c r="AG1067" s="2"/>
      <c r="AI1067" s="5">
        <v>0.315</v>
      </c>
      <c r="AK1067" t="s">
        <v>199</v>
      </c>
    </row>
    <row r="1068" spans="1:37" hidden="1" x14ac:dyDescent="0.25">
      <c r="A1068" t="s">
        <v>219</v>
      </c>
      <c r="B1068" t="s">
        <v>220</v>
      </c>
      <c r="C1068" t="s">
        <v>221</v>
      </c>
      <c r="D1068" t="s">
        <v>89</v>
      </c>
      <c r="E1068" t="s">
        <v>17</v>
      </c>
      <c r="F1068" t="s">
        <v>618</v>
      </c>
      <c r="G1068" t="s">
        <v>618</v>
      </c>
      <c r="H1068" t="s">
        <v>801</v>
      </c>
      <c r="I1068" t="s">
        <v>804</v>
      </c>
      <c r="K1068" t="s">
        <v>748</v>
      </c>
      <c r="L1068" t="s">
        <v>680</v>
      </c>
      <c r="M1068" t="s">
        <v>707</v>
      </c>
      <c r="R1068" t="s">
        <v>408</v>
      </c>
      <c r="S1068" t="s">
        <v>701</v>
      </c>
      <c r="T1068" t="s">
        <v>695</v>
      </c>
      <c r="U1068" t="s">
        <v>609</v>
      </c>
      <c r="V1068" s="1" t="s">
        <v>733</v>
      </c>
      <c r="W1068" s="1">
        <f t="shared" si="150"/>
        <v>9.6064824079214565E-8</v>
      </c>
      <c r="X1068" s="1"/>
      <c r="Y1068" s="1"/>
      <c r="Z1068" s="1"/>
      <c r="AA1068" s="1"/>
      <c r="AB1068" s="1">
        <f>[123]Fiscus_1986_Fig5!B4</f>
        <v>3.0496769548957002E-7</v>
      </c>
      <c r="AC1068" s="1"/>
      <c r="AD1068">
        <v>3150</v>
      </c>
      <c r="AF1068" s="2"/>
      <c r="AG1068" s="2"/>
      <c r="AI1068" s="5">
        <v>0.315</v>
      </c>
      <c r="AK1068" t="s">
        <v>199</v>
      </c>
    </row>
    <row r="1069" spans="1:37" hidden="1" x14ac:dyDescent="0.25">
      <c r="A1069" t="s">
        <v>219</v>
      </c>
      <c r="B1069" t="s">
        <v>220</v>
      </c>
      <c r="C1069" t="s">
        <v>221</v>
      </c>
      <c r="D1069" t="s">
        <v>89</v>
      </c>
      <c r="E1069" t="s">
        <v>17</v>
      </c>
      <c r="F1069" t="s">
        <v>618</v>
      </c>
      <c r="G1069" t="s">
        <v>618</v>
      </c>
      <c r="H1069" t="s">
        <v>801</v>
      </c>
      <c r="I1069" t="s">
        <v>804</v>
      </c>
      <c r="K1069" t="s">
        <v>748</v>
      </c>
      <c r="L1069" t="s">
        <v>681</v>
      </c>
      <c r="M1069" t="s">
        <v>707</v>
      </c>
      <c r="R1069" t="s">
        <v>408</v>
      </c>
      <c r="S1069" t="s">
        <v>701</v>
      </c>
      <c r="T1069" t="s">
        <v>695</v>
      </c>
      <c r="U1069" t="s">
        <v>609</v>
      </c>
      <c r="V1069" s="1" t="s">
        <v>733</v>
      </c>
      <c r="W1069" s="1">
        <f t="shared" si="150"/>
        <v>1.0203200708929925E-7</v>
      </c>
      <c r="X1069" s="1"/>
      <c r="Y1069" s="1"/>
      <c r="Z1069" s="1"/>
      <c r="AA1069" s="1"/>
      <c r="AB1069" s="1">
        <f>[123]Fiscus_1986_Fig5!B5</f>
        <v>3.2391113361682302E-7</v>
      </c>
      <c r="AC1069" s="1"/>
      <c r="AD1069">
        <v>3150</v>
      </c>
      <c r="AF1069" s="2"/>
      <c r="AG1069" s="2"/>
      <c r="AI1069" s="5">
        <v>0.315</v>
      </c>
      <c r="AK1069" t="s">
        <v>199</v>
      </c>
    </row>
    <row r="1070" spans="1:37" hidden="1" x14ac:dyDescent="0.25">
      <c r="A1070" t="s">
        <v>219</v>
      </c>
      <c r="B1070" t="s">
        <v>220</v>
      </c>
      <c r="C1070" t="s">
        <v>221</v>
      </c>
      <c r="D1070" t="s">
        <v>89</v>
      </c>
      <c r="E1070" t="s">
        <v>17</v>
      </c>
      <c r="F1070" t="s">
        <v>618</v>
      </c>
      <c r="G1070" t="s">
        <v>618</v>
      </c>
      <c r="H1070" t="s">
        <v>801</v>
      </c>
      <c r="I1070" t="s">
        <v>804</v>
      </c>
      <c r="K1070" t="s">
        <v>748</v>
      </c>
      <c r="L1070" t="s">
        <v>682</v>
      </c>
      <c r="M1070" t="s">
        <v>707</v>
      </c>
      <c r="R1070" t="s">
        <v>408</v>
      </c>
      <c r="S1070" t="s">
        <v>701</v>
      </c>
      <c r="T1070" t="s">
        <v>695</v>
      </c>
      <c r="U1070" t="s">
        <v>609</v>
      </c>
      <c r="V1070" s="1" t="s">
        <v>733</v>
      </c>
      <c r="W1070" s="1">
        <f t="shared" si="150"/>
        <v>9.604464519947031E-8</v>
      </c>
      <c r="X1070" s="1"/>
      <c r="Y1070" s="1"/>
      <c r="Z1070" s="1"/>
      <c r="AA1070" s="1"/>
      <c r="AB1070" s="1">
        <f>[123]Fiscus_1986_Fig5!B6</f>
        <v>3.0490363555387399E-7</v>
      </c>
      <c r="AC1070" s="1"/>
      <c r="AD1070">
        <v>3150</v>
      </c>
      <c r="AF1070" s="2"/>
      <c r="AG1070" s="2"/>
      <c r="AI1070" s="5">
        <v>0.315</v>
      </c>
      <c r="AK1070" t="s">
        <v>199</v>
      </c>
    </row>
    <row r="1071" spans="1:37" hidden="1" x14ac:dyDescent="0.25">
      <c r="A1071" t="s">
        <v>219</v>
      </c>
      <c r="B1071" t="s">
        <v>220</v>
      </c>
      <c r="C1071" t="s">
        <v>221</v>
      </c>
      <c r="D1071" t="s">
        <v>89</v>
      </c>
      <c r="E1071" t="s">
        <v>17</v>
      </c>
      <c r="F1071" t="s">
        <v>618</v>
      </c>
      <c r="G1071" t="s">
        <v>618</v>
      </c>
      <c r="H1071" t="s">
        <v>801</v>
      </c>
      <c r="I1071" t="s">
        <v>804</v>
      </c>
      <c r="K1071" t="s">
        <v>748</v>
      </c>
      <c r="L1071" t="s">
        <v>683</v>
      </c>
      <c r="M1071" t="s">
        <v>707</v>
      </c>
      <c r="R1071" t="s">
        <v>408</v>
      </c>
      <c r="S1071" t="s">
        <v>701</v>
      </c>
      <c r="T1071" t="s">
        <v>695</v>
      </c>
      <c r="U1071" t="s">
        <v>609</v>
      </c>
      <c r="V1071" s="1" t="s">
        <v>733</v>
      </c>
      <c r="W1071" s="1">
        <f t="shared" si="150"/>
        <v>9.9295750995979228E-8</v>
      </c>
      <c r="X1071" s="1"/>
      <c r="Y1071" s="1"/>
      <c r="Z1071" s="1"/>
      <c r="AA1071" s="1"/>
      <c r="AB1071" s="1">
        <f>[123]Fiscus_1986_Fig5!B7</f>
        <v>3.1522460633644198E-7</v>
      </c>
      <c r="AC1071" s="1"/>
      <c r="AD1071">
        <v>3150</v>
      </c>
      <c r="AF1071" s="2"/>
      <c r="AG1071" s="2"/>
      <c r="AI1071" s="5">
        <v>0.315</v>
      </c>
      <c r="AK1071" t="s">
        <v>199</v>
      </c>
    </row>
    <row r="1072" spans="1:37" hidden="1" x14ac:dyDescent="0.25">
      <c r="A1072" t="s">
        <v>219</v>
      </c>
      <c r="B1072" t="s">
        <v>220</v>
      </c>
      <c r="C1072" t="s">
        <v>221</v>
      </c>
      <c r="D1072" t="s">
        <v>89</v>
      </c>
      <c r="E1072" t="s">
        <v>17</v>
      </c>
      <c r="F1072" t="s">
        <v>618</v>
      </c>
      <c r="G1072" t="s">
        <v>618</v>
      </c>
      <c r="H1072" t="s">
        <v>801</v>
      </c>
      <c r="I1072" t="s">
        <v>804</v>
      </c>
      <c r="K1072" t="s">
        <v>748</v>
      </c>
      <c r="L1072" t="s">
        <v>684</v>
      </c>
      <c r="M1072" t="s">
        <v>707</v>
      </c>
      <c r="R1072" t="s">
        <v>408</v>
      </c>
      <c r="S1072" t="s">
        <v>701</v>
      </c>
      <c r="T1072" t="s">
        <v>695</v>
      </c>
      <c r="U1072" t="s">
        <v>609</v>
      </c>
      <c r="V1072" s="1" t="s">
        <v>733</v>
      </c>
      <c r="W1072" s="1">
        <f t="shared" si="150"/>
        <v>9.8474182320677936E-8</v>
      </c>
      <c r="X1072" s="1"/>
      <c r="Y1072" s="1"/>
      <c r="Z1072" s="1"/>
      <c r="AA1072" s="1"/>
      <c r="AB1072" s="1">
        <f>[123]Fiscus_1986_Fig5!B8</f>
        <v>3.1261645181167599E-7</v>
      </c>
      <c r="AC1072" s="1"/>
      <c r="AD1072">
        <v>3150</v>
      </c>
      <c r="AF1072" s="2"/>
      <c r="AG1072" s="2"/>
      <c r="AI1072" s="5">
        <v>0.315</v>
      </c>
      <c r="AK1072" t="s">
        <v>199</v>
      </c>
    </row>
    <row r="1073" spans="1:37" hidden="1" x14ac:dyDescent="0.25">
      <c r="A1073" t="s">
        <v>219</v>
      </c>
      <c r="B1073" t="s">
        <v>220</v>
      </c>
      <c r="C1073" t="s">
        <v>221</v>
      </c>
      <c r="D1073" t="s">
        <v>89</v>
      </c>
      <c r="E1073" t="s">
        <v>17</v>
      </c>
      <c r="F1073" t="s">
        <v>618</v>
      </c>
      <c r="G1073" t="s">
        <v>618</v>
      </c>
      <c r="H1073" t="s">
        <v>801</v>
      </c>
      <c r="I1073" t="s">
        <v>804</v>
      </c>
      <c r="K1073" t="s">
        <v>748</v>
      </c>
      <c r="L1073" t="s">
        <v>685</v>
      </c>
      <c r="M1073" t="s">
        <v>707</v>
      </c>
      <c r="R1073" t="s">
        <v>408</v>
      </c>
      <c r="S1073" t="s">
        <v>701</v>
      </c>
      <c r="T1073" t="s">
        <v>695</v>
      </c>
      <c r="U1073" t="s">
        <v>609</v>
      </c>
      <c r="V1073" s="1" t="s">
        <v>733</v>
      </c>
      <c r="W1073" s="1">
        <f t="shared" si="150"/>
        <v>9.8875165488166918E-8</v>
      </c>
      <c r="X1073" s="1"/>
      <c r="Y1073" s="1"/>
      <c r="Z1073" s="1"/>
      <c r="AA1073" s="1"/>
      <c r="AB1073" s="1">
        <f>[123]Fiscus_1986_Fig5!B9</f>
        <v>3.13889414248149E-7</v>
      </c>
      <c r="AC1073" s="1"/>
      <c r="AD1073">
        <v>3150</v>
      </c>
      <c r="AF1073" s="2"/>
      <c r="AG1073" s="2"/>
      <c r="AI1073" s="5">
        <v>0.315</v>
      </c>
      <c r="AK1073" t="s">
        <v>199</v>
      </c>
    </row>
    <row r="1074" spans="1:37" hidden="1" x14ac:dyDescent="0.25">
      <c r="A1074" t="s">
        <v>219</v>
      </c>
      <c r="B1074" t="s">
        <v>220</v>
      </c>
      <c r="C1074" t="s">
        <v>221</v>
      </c>
      <c r="D1074" t="s">
        <v>89</v>
      </c>
      <c r="E1074" t="s">
        <v>17</v>
      </c>
      <c r="F1074" t="s">
        <v>618</v>
      </c>
      <c r="G1074" t="s">
        <v>618</v>
      </c>
      <c r="H1074" t="s">
        <v>801</v>
      </c>
      <c r="I1074" t="s">
        <v>804</v>
      </c>
      <c r="K1074" t="s">
        <v>748</v>
      </c>
      <c r="L1074" t="s">
        <v>686</v>
      </c>
      <c r="M1074" t="s">
        <v>707</v>
      </c>
      <c r="R1074" t="s">
        <v>408</v>
      </c>
      <c r="S1074" t="s">
        <v>701</v>
      </c>
      <c r="T1074" t="s">
        <v>695</v>
      </c>
      <c r="U1074" t="s">
        <v>609</v>
      </c>
      <c r="V1074" s="1" t="s">
        <v>733</v>
      </c>
      <c r="W1074" s="1">
        <f t="shared" si="150"/>
        <v>9.3844570767925952E-8</v>
      </c>
      <c r="X1074" s="1"/>
      <c r="Y1074" s="1"/>
      <c r="Z1074" s="1"/>
      <c r="AA1074" s="1"/>
      <c r="AB1074" s="1">
        <f>[123]Fiscus_1986_Fig5!B10</f>
        <v>2.9791927227912998E-7</v>
      </c>
      <c r="AC1074" s="1"/>
      <c r="AD1074">
        <v>3150</v>
      </c>
      <c r="AF1074" s="2"/>
      <c r="AG1074" s="2"/>
      <c r="AI1074" s="5">
        <v>0.315</v>
      </c>
      <c r="AK1074" t="s">
        <v>199</v>
      </c>
    </row>
    <row r="1075" spans="1:37" hidden="1" x14ac:dyDescent="0.25">
      <c r="A1075" t="s">
        <v>219</v>
      </c>
      <c r="B1075" t="s">
        <v>220</v>
      </c>
      <c r="C1075" t="s">
        <v>221</v>
      </c>
      <c r="D1075" t="s">
        <v>89</v>
      </c>
      <c r="E1075" t="s">
        <v>17</v>
      </c>
      <c r="F1075" t="s">
        <v>618</v>
      </c>
      <c r="G1075" t="s">
        <v>618</v>
      </c>
      <c r="H1075" t="s">
        <v>801</v>
      </c>
      <c r="I1075" t="s">
        <v>804</v>
      </c>
      <c r="K1075" t="s">
        <v>748</v>
      </c>
      <c r="L1075" t="s">
        <v>687</v>
      </c>
      <c r="M1075" t="s">
        <v>707</v>
      </c>
      <c r="R1075" t="s">
        <v>408</v>
      </c>
      <c r="S1075" t="s">
        <v>701</v>
      </c>
      <c r="T1075" t="s">
        <v>695</v>
      </c>
      <c r="U1075" t="s">
        <v>609</v>
      </c>
      <c r="V1075" s="1" t="s">
        <v>733</v>
      </c>
      <c r="W1075" s="1">
        <f t="shared" si="150"/>
        <v>9.0164807911706866E-8</v>
      </c>
      <c r="X1075" s="1"/>
      <c r="Y1075" s="1"/>
      <c r="Z1075" s="1"/>
      <c r="AA1075" s="1"/>
      <c r="AB1075" s="1">
        <f>[123]Fiscus_1986_Fig5!B11</f>
        <v>2.8623748543399002E-7</v>
      </c>
      <c r="AC1075" s="1"/>
      <c r="AD1075">
        <v>3150</v>
      </c>
      <c r="AF1075" s="2"/>
      <c r="AG1075" s="2"/>
      <c r="AI1075" s="5">
        <v>0.315</v>
      </c>
      <c r="AK1075" t="s">
        <v>199</v>
      </c>
    </row>
    <row r="1076" spans="1:37" hidden="1" x14ac:dyDescent="0.25">
      <c r="A1076" t="s">
        <v>219</v>
      </c>
      <c r="B1076" t="s">
        <v>220</v>
      </c>
      <c r="C1076" t="s">
        <v>221</v>
      </c>
      <c r="D1076" t="s">
        <v>89</v>
      </c>
      <c r="E1076" t="s">
        <v>17</v>
      </c>
      <c r="F1076" t="s">
        <v>618</v>
      </c>
      <c r="G1076" t="s">
        <v>618</v>
      </c>
      <c r="H1076" t="s">
        <v>801</v>
      </c>
      <c r="I1076" t="s">
        <v>804</v>
      </c>
      <c r="K1076" t="s">
        <v>748</v>
      </c>
      <c r="L1076" t="s">
        <v>688</v>
      </c>
      <c r="M1076" t="s">
        <v>707</v>
      </c>
      <c r="R1076" t="s">
        <v>408</v>
      </c>
      <c r="S1076" t="s">
        <v>701</v>
      </c>
      <c r="T1076" t="s">
        <v>695</v>
      </c>
      <c r="U1076" t="s">
        <v>609</v>
      </c>
      <c r="V1076" s="1" t="s">
        <v>733</v>
      </c>
      <c r="W1076" s="1">
        <f t="shared" si="150"/>
        <v>9.0293664472359384E-8</v>
      </c>
      <c r="X1076" s="1"/>
      <c r="Y1076" s="1"/>
      <c r="Z1076" s="1"/>
      <c r="AA1076" s="1"/>
      <c r="AB1076" s="1">
        <f>[123]Fiscus_1986_Fig5!B12</f>
        <v>2.8664655388050597E-7</v>
      </c>
      <c r="AC1076" s="1"/>
      <c r="AD1076">
        <v>3150</v>
      </c>
      <c r="AF1076" s="2"/>
      <c r="AG1076" s="2"/>
      <c r="AI1076" s="5">
        <v>0.315</v>
      </c>
      <c r="AK1076" t="s">
        <v>199</v>
      </c>
    </row>
    <row r="1077" spans="1:37" hidden="1" x14ac:dyDescent="0.25">
      <c r="A1077" t="s">
        <v>219</v>
      </c>
      <c r="B1077" t="s">
        <v>220</v>
      </c>
      <c r="C1077" t="s">
        <v>221</v>
      </c>
      <c r="D1077" t="s">
        <v>89</v>
      </c>
      <c r="E1077" t="s">
        <v>17</v>
      </c>
      <c r="F1077" t="s">
        <v>618</v>
      </c>
      <c r="G1077" t="s">
        <v>618</v>
      </c>
      <c r="H1077" t="s">
        <v>801</v>
      </c>
      <c r="I1077" t="s">
        <v>804</v>
      </c>
      <c r="K1077" t="s">
        <v>748</v>
      </c>
      <c r="L1077" t="s">
        <v>689</v>
      </c>
      <c r="M1077" t="s">
        <v>707</v>
      </c>
      <c r="R1077" t="s">
        <v>408</v>
      </c>
      <c r="S1077" t="s">
        <v>701</v>
      </c>
      <c r="T1077" t="s">
        <v>695</v>
      </c>
      <c r="U1077" t="s">
        <v>609</v>
      </c>
      <c r="V1077" s="1" t="s">
        <v>733</v>
      </c>
      <c r="W1077" s="1">
        <f t="shared" si="150"/>
        <v>8.8385895527396049E-8</v>
      </c>
      <c r="X1077" s="1"/>
      <c r="Y1077" s="1"/>
      <c r="Z1077" s="1"/>
      <c r="AA1077" s="1"/>
      <c r="AB1077" s="1">
        <f>[123]Fiscus_1986_Fig5!B13</f>
        <v>2.8059014453141602E-7</v>
      </c>
      <c r="AC1077" s="1"/>
      <c r="AD1077">
        <v>3150</v>
      </c>
      <c r="AF1077" s="2"/>
      <c r="AG1077" s="2"/>
      <c r="AI1077" s="5">
        <v>0.315</v>
      </c>
      <c r="AK1077" t="s">
        <v>199</v>
      </c>
    </row>
    <row r="1078" spans="1:37" hidden="1" x14ac:dyDescent="0.25">
      <c r="A1078" t="s">
        <v>219</v>
      </c>
      <c r="B1078" t="s">
        <v>220</v>
      </c>
      <c r="C1078" t="s">
        <v>221</v>
      </c>
      <c r="D1078" t="s">
        <v>89</v>
      </c>
      <c r="E1078" t="s">
        <v>17</v>
      </c>
      <c r="F1078" t="s">
        <v>618</v>
      </c>
      <c r="G1078" t="s">
        <v>618</v>
      </c>
      <c r="H1078" t="s">
        <v>801</v>
      </c>
      <c r="I1078" t="s">
        <v>804</v>
      </c>
      <c r="K1078" t="s">
        <v>748</v>
      </c>
      <c r="L1078" t="s">
        <v>690</v>
      </c>
      <c r="M1078" t="s">
        <v>707</v>
      </c>
      <c r="R1078" t="s">
        <v>408</v>
      </c>
      <c r="S1078" t="s">
        <v>701</v>
      </c>
      <c r="T1078" t="s">
        <v>695</v>
      </c>
      <c r="U1078" t="s">
        <v>609</v>
      </c>
      <c r="V1078" s="1" t="s">
        <v>733</v>
      </c>
      <c r="W1078" s="1">
        <f t="shared" si="150"/>
        <v>9.1230829301624667E-8</v>
      </c>
      <c r="X1078" s="1"/>
      <c r="Y1078" s="1"/>
      <c r="Z1078" s="1"/>
      <c r="AA1078" s="1"/>
      <c r="AB1078" s="1">
        <f>[123]Fiscus_1986_Fig5!B14</f>
        <v>2.8962168032261799E-7</v>
      </c>
      <c r="AC1078" s="1"/>
      <c r="AD1078">
        <v>3150</v>
      </c>
      <c r="AF1078" s="2"/>
      <c r="AG1078" s="2"/>
      <c r="AI1078" s="5">
        <v>0.315</v>
      </c>
      <c r="AK1078" t="s">
        <v>199</v>
      </c>
    </row>
    <row r="1079" spans="1:37" hidden="1" x14ac:dyDescent="0.25">
      <c r="A1079" t="s">
        <v>219</v>
      </c>
      <c r="B1079" t="s">
        <v>220</v>
      </c>
      <c r="C1079" t="s">
        <v>221</v>
      </c>
      <c r="D1079" t="s">
        <v>89</v>
      </c>
      <c r="E1079" t="s">
        <v>17</v>
      </c>
      <c r="F1079" t="s">
        <v>618</v>
      </c>
      <c r="G1079" t="s">
        <v>618</v>
      </c>
      <c r="H1079" t="s">
        <v>801</v>
      </c>
      <c r="I1079" t="s">
        <v>804</v>
      </c>
      <c r="K1079" t="s">
        <v>748</v>
      </c>
      <c r="L1079" t="s">
        <v>691</v>
      </c>
      <c r="M1079" t="s">
        <v>707</v>
      </c>
      <c r="R1079" t="s">
        <v>408</v>
      </c>
      <c r="S1079" t="s">
        <v>701</v>
      </c>
      <c r="T1079" t="s">
        <v>695</v>
      </c>
      <c r="U1079" t="s">
        <v>609</v>
      </c>
      <c r="V1079" s="1" t="s">
        <v>733</v>
      </c>
      <c r="W1079" s="1">
        <f t="shared" si="150"/>
        <v>7.9947664557772725E-8</v>
      </c>
      <c r="X1079" s="1"/>
      <c r="Y1079" s="1"/>
      <c r="Z1079" s="1"/>
      <c r="AA1079" s="1"/>
      <c r="AB1079" s="1">
        <f>[123]Fiscus_1986_Fig5!B15</f>
        <v>2.53802109707215E-7</v>
      </c>
      <c r="AC1079" s="1"/>
      <c r="AD1079">
        <v>3150</v>
      </c>
      <c r="AF1079" s="2"/>
      <c r="AG1079" s="2"/>
      <c r="AI1079" s="5">
        <v>0.315</v>
      </c>
      <c r="AK1079" t="s">
        <v>199</v>
      </c>
    </row>
    <row r="1080" spans="1:37" hidden="1" x14ac:dyDescent="0.25">
      <c r="A1080" t="s">
        <v>222</v>
      </c>
      <c r="B1080" t="s">
        <v>50</v>
      </c>
      <c r="C1080" t="s">
        <v>51</v>
      </c>
      <c r="D1080" t="s">
        <v>16</v>
      </c>
      <c r="E1080" t="s">
        <v>29</v>
      </c>
      <c r="F1080" t="s">
        <v>30</v>
      </c>
      <c r="G1080" t="s">
        <v>30</v>
      </c>
      <c r="H1080" t="s">
        <v>30</v>
      </c>
      <c r="I1080" t="s">
        <v>704</v>
      </c>
      <c r="K1080" t="s">
        <v>756</v>
      </c>
      <c r="L1080" t="s">
        <v>756</v>
      </c>
      <c r="M1080" t="s">
        <v>756</v>
      </c>
      <c r="R1080" t="s">
        <v>408</v>
      </c>
      <c r="S1080" t="s">
        <v>701</v>
      </c>
      <c r="T1080" t="s">
        <v>695</v>
      </c>
      <c r="U1080" t="s">
        <v>609</v>
      </c>
      <c r="V1080" s="1" t="s">
        <v>733</v>
      </c>
      <c r="W1080" s="1">
        <f t="shared" si="150"/>
        <v>5.7960000000000003E-9</v>
      </c>
      <c r="X1080" s="1"/>
      <c r="Y1080" s="1"/>
      <c r="Z1080" s="1"/>
      <c r="AB1080" s="1">
        <v>2.1E-7</v>
      </c>
      <c r="AD1080" s="9">
        <v>276</v>
      </c>
      <c r="AF1080" s="2"/>
      <c r="AG1080" s="2"/>
      <c r="AK1080" t="s">
        <v>199</v>
      </c>
    </row>
    <row r="1081" spans="1:37" hidden="1" x14ac:dyDescent="0.25">
      <c r="A1081" t="s">
        <v>374</v>
      </c>
      <c r="B1081" t="s">
        <v>63</v>
      </c>
      <c r="C1081" t="s">
        <v>64</v>
      </c>
      <c r="D1081" t="s">
        <v>65</v>
      </c>
      <c r="E1081" t="s">
        <v>17</v>
      </c>
      <c r="F1081" t="s">
        <v>614</v>
      </c>
      <c r="G1081" t="s">
        <v>614</v>
      </c>
      <c r="H1081" t="s">
        <v>801</v>
      </c>
      <c r="I1081" t="s">
        <v>804</v>
      </c>
      <c r="J1081">
        <f t="shared" ref="J1081:J1089" si="151">4*7</f>
        <v>28</v>
      </c>
      <c r="K1081" t="s">
        <v>747</v>
      </c>
      <c r="L1081" t="s">
        <v>463</v>
      </c>
      <c r="M1081" t="s">
        <v>707</v>
      </c>
      <c r="N1081" t="s">
        <v>506</v>
      </c>
      <c r="O1081" t="s">
        <v>707</v>
      </c>
      <c r="R1081" t="s">
        <v>408</v>
      </c>
      <c r="S1081" t="s">
        <v>701</v>
      </c>
      <c r="T1081" t="s">
        <v>695</v>
      </c>
      <c r="U1081" t="s">
        <v>609</v>
      </c>
      <c r="V1081" s="1" t="s">
        <v>733</v>
      </c>
      <c r="W1081" s="1">
        <f t="shared" ref="W1081:W1086" si="152">+AA1081*AJ1081</f>
        <v>2.5056000000000001E-10</v>
      </c>
      <c r="X1081" s="1"/>
      <c r="Y1081" s="1"/>
      <c r="Z1081" s="1"/>
      <c r="AA1081" s="1">
        <v>5.4000000000000001E-11</v>
      </c>
      <c r="AC1081" s="1"/>
      <c r="AF1081" s="2">
        <v>1.89</v>
      </c>
      <c r="AG1081" s="2"/>
      <c r="AI1081" s="5">
        <v>1.01E-2</v>
      </c>
      <c r="AJ1081" s="2">
        <v>4.6399999999999997</v>
      </c>
      <c r="AK1081" t="s">
        <v>199</v>
      </c>
    </row>
    <row r="1082" spans="1:37" hidden="1" x14ac:dyDescent="0.25">
      <c r="A1082" t="s">
        <v>374</v>
      </c>
      <c r="B1082" t="s">
        <v>63</v>
      </c>
      <c r="C1082" t="s">
        <v>64</v>
      </c>
      <c r="D1082" t="s">
        <v>65</v>
      </c>
      <c r="E1082" t="s">
        <v>17</v>
      </c>
      <c r="F1082" t="s">
        <v>614</v>
      </c>
      <c r="G1082" t="s">
        <v>614</v>
      </c>
      <c r="H1082" t="s">
        <v>801</v>
      </c>
      <c r="I1082" t="s">
        <v>804</v>
      </c>
      <c r="J1082">
        <f t="shared" si="151"/>
        <v>28</v>
      </c>
      <c r="K1082" t="s">
        <v>747</v>
      </c>
      <c r="L1082" t="s">
        <v>463</v>
      </c>
      <c r="M1082" t="s">
        <v>707</v>
      </c>
      <c r="N1082" t="s">
        <v>507</v>
      </c>
      <c r="O1082" t="s">
        <v>707</v>
      </c>
      <c r="R1082" t="s">
        <v>408</v>
      </c>
      <c r="S1082" t="s">
        <v>701</v>
      </c>
      <c r="T1082" t="s">
        <v>695</v>
      </c>
      <c r="U1082" t="s">
        <v>609</v>
      </c>
      <c r="V1082" s="1" t="s">
        <v>733</v>
      </c>
      <c r="W1082" s="1">
        <f t="shared" si="152"/>
        <v>2.2102799999999994E-10</v>
      </c>
      <c r="X1082" s="1"/>
      <c r="Y1082" s="1"/>
      <c r="Z1082" s="1"/>
      <c r="AA1082" s="1">
        <v>6.7799999999999988E-11</v>
      </c>
      <c r="AC1082" s="1"/>
      <c r="AF1082" s="2">
        <v>1.83</v>
      </c>
      <c r="AG1082" s="2"/>
      <c r="AI1082" s="5">
        <v>9.41E-3</v>
      </c>
      <c r="AJ1082" s="2">
        <v>3.26</v>
      </c>
      <c r="AK1082" t="s">
        <v>199</v>
      </c>
    </row>
    <row r="1083" spans="1:37" hidden="1" x14ac:dyDescent="0.25">
      <c r="A1083" t="s">
        <v>374</v>
      </c>
      <c r="B1083" t="s">
        <v>63</v>
      </c>
      <c r="C1083" t="s">
        <v>64</v>
      </c>
      <c r="D1083" t="s">
        <v>65</v>
      </c>
      <c r="E1083" t="s">
        <v>17</v>
      </c>
      <c r="F1083" t="s">
        <v>614</v>
      </c>
      <c r="G1083" t="s">
        <v>614</v>
      </c>
      <c r="H1083" t="s">
        <v>801</v>
      </c>
      <c r="I1083" t="s">
        <v>804</v>
      </c>
      <c r="J1083">
        <f t="shared" si="151"/>
        <v>28</v>
      </c>
      <c r="K1083" t="s">
        <v>747</v>
      </c>
      <c r="L1083" t="s">
        <v>463</v>
      </c>
      <c r="M1083" t="s">
        <v>707</v>
      </c>
      <c r="N1083" t="s">
        <v>508</v>
      </c>
      <c r="O1083" t="s">
        <v>707</v>
      </c>
      <c r="R1083" t="s">
        <v>408</v>
      </c>
      <c r="S1083" t="s">
        <v>701</v>
      </c>
      <c r="T1083" t="s">
        <v>695</v>
      </c>
      <c r="U1083" t="s">
        <v>609</v>
      </c>
      <c r="V1083" s="1" t="s">
        <v>733</v>
      </c>
      <c r="W1083" s="1">
        <f t="shared" si="152"/>
        <v>5.2930000000000002E-10</v>
      </c>
      <c r="X1083" s="1"/>
      <c r="Y1083" s="1"/>
      <c r="Z1083" s="1"/>
      <c r="AA1083" s="1">
        <v>1.6749999999999999E-10</v>
      </c>
      <c r="AC1083" s="1"/>
      <c r="AF1083" s="2">
        <v>2.15</v>
      </c>
      <c r="AG1083" s="2"/>
      <c r="AI1083" s="5">
        <v>9.7000000000000003E-3</v>
      </c>
      <c r="AJ1083" s="2">
        <v>3.16</v>
      </c>
      <c r="AK1083" t="s">
        <v>199</v>
      </c>
    </row>
    <row r="1084" spans="1:37" hidden="1" x14ac:dyDescent="0.25">
      <c r="A1084" t="s">
        <v>374</v>
      </c>
      <c r="B1084" t="s">
        <v>63</v>
      </c>
      <c r="C1084" t="s">
        <v>64</v>
      </c>
      <c r="D1084" t="s">
        <v>65</v>
      </c>
      <c r="E1084" t="s">
        <v>17</v>
      </c>
      <c r="F1084" t="s">
        <v>614</v>
      </c>
      <c r="G1084" t="s">
        <v>614</v>
      </c>
      <c r="H1084" t="s">
        <v>801</v>
      </c>
      <c r="I1084" t="s">
        <v>804</v>
      </c>
      <c r="J1084">
        <f t="shared" si="151"/>
        <v>28</v>
      </c>
      <c r="K1084" t="s">
        <v>747</v>
      </c>
      <c r="L1084" t="s">
        <v>462</v>
      </c>
      <c r="M1084" t="s">
        <v>707</v>
      </c>
      <c r="N1084" t="s">
        <v>506</v>
      </c>
      <c r="O1084" t="s">
        <v>707</v>
      </c>
      <c r="R1084" t="s">
        <v>408</v>
      </c>
      <c r="S1084" t="s">
        <v>701</v>
      </c>
      <c r="T1084" t="s">
        <v>695</v>
      </c>
      <c r="U1084" t="s">
        <v>609</v>
      </c>
      <c r="V1084" s="1" t="s">
        <v>733</v>
      </c>
      <c r="W1084" s="1">
        <f t="shared" si="152"/>
        <v>4.4029999999999996E-11</v>
      </c>
      <c r="X1084" s="1"/>
      <c r="Y1084" s="1"/>
      <c r="Z1084" s="1"/>
      <c r="AA1084" s="1">
        <v>3.4000000000000001E-12</v>
      </c>
      <c r="AC1084" s="1"/>
      <c r="AF1084" s="2">
        <v>1.0900000000000001</v>
      </c>
      <c r="AG1084" s="2"/>
      <c r="AI1084" s="5">
        <v>2.511E-2</v>
      </c>
      <c r="AJ1084" s="2">
        <v>12.95</v>
      </c>
      <c r="AK1084" t="s">
        <v>199</v>
      </c>
    </row>
    <row r="1085" spans="1:37" hidden="1" x14ac:dyDescent="0.25">
      <c r="A1085" t="s">
        <v>374</v>
      </c>
      <c r="B1085" t="s">
        <v>63</v>
      </c>
      <c r="C1085" t="s">
        <v>64</v>
      </c>
      <c r="D1085" t="s">
        <v>65</v>
      </c>
      <c r="E1085" t="s">
        <v>17</v>
      </c>
      <c r="F1085" t="s">
        <v>614</v>
      </c>
      <c r="G1085" t="s">
        <v>614</v>
      </c>
      <c r="H1085" t="s">
        <v>801</v>
      </c>
      <c r="I1085" t="s">
        <v>804</v>
      </c>
      <c r="J1085">
        <f t="shared" si="151"/>
        <v>28</v>
      </c>
      <c r="K1085" t="s">
        <v>747</v>
      </c>
      <c r="L1085" t="s">
        <v>462</v>
      </c>
      <c r="M1085" t="s">
        <v>707</v>
      </c>
      <c r="N1085" t="s">
        <v>507</v>
      </c>
      <c r="O1085" t="s">
        <v>707</v>
      </c>
      <c r="R1085" t="s">
        <v>408</v>
      </c>
      <c r="S1085" t="s">
        <v>701</v>
      </c>
      <c r="T1085" t="s">
        <v>695</v>
      </c>
      <c r="U1085" t="s">
        <v>609</v>
      </c>
      <c r="V1085" s="1" t="s">
        <v>733</v>
      </c>
      <c r="W1085" s="1">
        <f t="shared" si="152"/>
        <v>4.0857599999999997E-10</v>
      </c>
      <c r="X1085" s="1"/>
      <c r="Y1085" s="1"/>
      <c r="Z1085" s="1"/>
      <c r="AA1085" s="1">
        <v>2.5599999999999998E-11</v>
      </c>
      <c r="AC1085" s="1"/>
      <c r="AF1085" s="2">
        <v>0.73</v>
      </c>
      <c r="AG1085" s="2"/>
      <c r="AI1085" s="5">
        <v>2.0799999999999999E-2</v>
      </c>
      <c r="AJ1085" s="2">
        <v>15.96</v>
      </c>
      <c r="AK1085" t="s">
        <v>199</v>
      </c>
    </row>
    <row r="1086" spans="1:37" hidden="1" x14ac:dyDescent="0.25">
      <c r="A1086" t="s">
        <v>374</v>
      </c>
      <c r="B1086" t="s">
        <v>63</v>
      </c>
      <c r="C1086" t="s">
        <v>64</v>
      </c>
      <c r="D1086" t="s">
        <v>65</v>
      </c>
      <c r="E1086" t="s">
        <v>17</v>
      </c>
      <c r="F1086" t="s">
        <v>614</v>
      </c>
      <c r="G1086" t="s">
        <v>614</v>
      </c>
      <c r="H1086" t="s">
        <v>801</v>
      </c>
      <c r="I1086" t="s">
        <v>804</v>
      </c>
      <c r="J1086">
        <f t="shared" si="151"/>
        <v>28</v>
      </c>
      <c r="K1086" t="s">
        <v>747</v>
      </c>
      <c r="L1086" t="s">
        <v>462</v>
      </c>
      <c r="M1086" t="s">
        <v>707</v>
      </c>
      <c r="N1086" t="s">
        <v>508</v>
      </c>
      <c r="O1086" t="s">
        <v>707</v>
      </c>
      <c r="R1086" t="s">
        <v>408</v>
      </c>
      <c r="S1086" t="s">
        <v>701</v>
      </c>
      <c r="T1086" t="s">
        <v>695</v>
      </c>
      <c r="U1086" t="s">
        <v>609</v>
      </c>
      <c r="V1086" s="1" t="s">
        <v>733</v>
      </c>
      <c r="W1086" s="1">
        <f t="shared" si="152"/>
        <v>6.1311099999999987E-10</v>
      </c>
      <c r="X1086" s="1"/>
      <c r="Y1086" s="1"/>
      <c r="Z1086" s="1"/>
      <c r="AA1086" s="1">
        <v>4.3699999999999995E-11</v>
      </c>
      <c r="AC1086" s="1"/>
      <c r="AF1086" s="2">
        <v>0.87</v>
      </c>
      <c r="AG1086" s="2"/>
      <c r="AI1086" s="5">
        <v>2.3709999999999998E-2</v>
      </c>
      <c r="AJ1086" s="2">
        <v>14.03</v>
      </c>
      <c r="AK1086" t="s">
        <v>199</v>
      </c>
    </row>
    <row r="1087" spans="1:37" hidden="1" x14ac:dyDescent="0.25">
      <c r="A1087" t="s">
        <v>731</v>
      </c>
      <c r="B1087" t="s">
        <v>63</v>
      </c>
      <c r="C1087" t="s">
        <v>64</v>
      </c>
      <c r="D1087" t="s">
        <v>65</v>
      </c>
      <c r="E1087" t="s">
        <v>17</v>
      </c>
      <c r="F1087" t="s">
        <v>614</v>
      </c>
      <c r="G1087" t="s">
        <v>614</v>
      </c>
      <c r="H1087" t="s">
        <v>801</v>
      </c>
      <c r="I1087" t="s">
        <v>804</v>
      </c>
      <c r="J1087">
        <f t="shared" si="151"/>
        <v>28</v>
      </c>
      <c r="K1087" t="s">
        <v>756</v>
      </c>
      <c r="L1087" t="s">
        <v>756</v>
      </c>
      <c r="M1087" t="s">
        <v>756</v>
      </c>
      <c r="R1087" t="s">
        <v>408</v>
      </c>
      <c r="S1087" t="s">
        <v>701</v>
      </c>
      <c r="T1087" t="s">
        <v>695</v>
      </c>
      <c r="U1087" t="s">
        <v>609</v>
      </c>
      <c r="V1087" s="1"/>
      <c r="W1087" s="1"/>
      <c r="X1087" s="1"/>
      <c r="Y1087" s="1"/>
      <c r="Z1087" s="1"/>
      <c r="AA1087" s="1"/>
      <c r="AB1087" s="1">
        <v>2.07E-8</v>
      </c>
      <c r="AC1087" s="1"/>
      <c r="AF1087" s="2"/>
      <c r="AG1087" s="2"/>
      <c r="AJ1087" s="2"/>
      <c r="AK1087" t="s">
        <v>199</v>
      </c>
    </row>
    <row r="1088" spans="1:37" hidden="1" x14ac:dyDescent="0.25">
      <c r="A1088" t="s">
        <v>731</v>
      </c>
      <c r="B1088" t="s">
        <v>220</v>
      </c>
      <c r="C1088" t="s">
        <v>221</v>
      </c>
      <c r="D1088" t="s">
        <v>89</v>
      </c>
      <c r="E1088" t="s">
        <v>17</v>
      </c>
      <c r="F1088" t="s">
        <v>618</v>
      </c>
      <c r="G1088" t="s">
        <v>618</v>
      </c>
      <c r="H1088" t="s">
        <v>801</v>
      </c>
      <c r="I1088" t="s">
        <v>804</v>
      </c>
      <c r="J1088">
        <f t="shared" si="151"/>
        <v>28</v>
      </c>
      <c r="K1088" t="s">
        <v>756</v>
      </c>
      <c r="L1088" t="s">
        <v>756</v>
      </c>
      <c r="M1088" t="s">
        <v>756</v>
      </c>
      <c r="R1088" t="s">
        <v>408</v>
      </c>
      <c r="S1088" t="s">
        <v>701</v>
      </c>
      <c r="T1088" t="s">
        <v>695</v>
      </c>
      <c r="U1088" t="s">
        <v>609</v>
      </c>
      <c r="V1088" s="1"/>
      <c r="W1088" s="1"/>
      <c r="X1088" s="1"/>
      <c r="Y1088" s="1"/>
      <c r="Z1088" s="1"/>
      <c r="AA1088" s="1"/>
      <c r="AB1088" s="1">
        <v>5.9999999999999995E-8</v>
      </c>
      <c r="AC1088" s="1"/>
      <c r="AF1088" s="2"/>
      <c r="AG1088" s="2"/>
      <c r="AJ1088" s="2"/>
      <c r="AK1088" t="s">
        <v>199</v>
      </c>
    </row>
    <row r="1089" spans="1:37" hidden="1" x14ac:dyDescent="0.25">
      <c r="A1089" t="s">
        <v>731</v>
      </c>
      <c r="B1089" t="s">
        <v>32</v>
      </c>
      <c r="C1089" t="s">
        <v>33</v>
      </c>
      <c r="D1089" t="s">
        <v>34</v>
      </c>
      <c r="E1089" t="s">
        <v>17</v>
      </c>
      <c r="F1089" t="s">
        <v>614</v>
      </c>
      <c r="G1089" t="s">
        <v>614</v>
      </c>
      <c r="H1089" t="s">
        <v>801</v>
      </c>
      <c r="I1089" t="s">
        <v>804</v>
      </c>
      <c r="J1089">
        <f t="shared" si="151"/>
        <v>28</v>
      </c>
      <c r="K1089" t="s">
        <v>756</v>
      </c>
      <c r="L1089" t="s">
        <v>756</v>
      </c>
      <c r="M1089" t="s">
        <v>756</v>
      </c>
      <c r="R1089" t="s">
        <v>408</v>
      </c>
      <c r="S1089" t="s">
        <v>701</v>
      </c>
      <c r="T1089" t="s">
        <v>695</v>
      </c>
      <c r="U1089" t="s">
        <v>609</v>
      </c>
      <c r="V1089" s="1"/>
      <c r="W1089" s="1"/>
      <c r="X1089" s="1"/>
      <c r="Y1089" s="1"/>
      <c r="Z1089" s="1"/>
      <c r="AA1089" s="1"/>
      <c r="AB1089" s="1">
        <v>2.3199999999999999E-8</v>
      </c>
      <c r="AC1089" s="1"/>
      <c r="AF1089" s="2"/>
      <c r="AG1089" s="2"/>
      <c r="AJ1089" s="2"/>
      <c r="AK1089" t="s">
        <v>199</v>
      </c>
    </row>
    <row r="1090" spans="1:37" hidden="1" x14ac:dyDescent="0.25">
      <c r="A1090" t="s">
        <v>732</v>
      </c>
      <c r="B1090" t="s">
        <v>102</v>
      </c>
      <c r="C1090" t="s">
        <v>75</v>
      </c>
      <c r="D1090" t="s">
        <v>16</v>
      </c>
      <c r="E1090" t="s">
        <v>17</v>
      </c>
      <c r="F1090" t="s">
        <v>18</v>
      </c>
      <c r="G1090" t="s">
        <v>18</v>
      </c>
      <c r="H1090" t="s">
        <v>18</v>
      </c>
      <c r="I1090" t="s">
        <v>704</v>
      </c>
      <c r="J1090">
        <f>+AVERAGE(4,6)</f>
        <v>5</v>
      </c>
      <c r="K1090" t="s">
        <v>756</v>
      </c>
      <c r="L1090" t="s">
        <v>756</v>
      </c>
      <c r="M1090" t="s">
        <v>756</v>
      </c>
      <c r="R1090" t="s">
        <v>408</v>
      </c>
      <c r="S1090" t="s">
        <v>701</v>
      </c>
      <c r="T1090" t="s">
        <v>695</v>
      </c>
      <c r="U1090" t="s">
        <v>610</v>
      </c>
      <c r="Z1090" s="1"/>
      <c r="AA1090" s="1"/>
      <c r="AB1090">
        <f>+AVERAGE(4.74,5.02)*0.000000001</f>
        <v>4.8800000000000005E-9</v>
      </c>
      <c r="AC1090" s="1"/>
      <c r="AF1090" s="2"/>
      <c r="AG1090" s="2"/>
      <c r="AJ1090" s="2"/>
      <c r="AK1090" t="s">
        <v>709</v>
      </c>
    </row>
    <row r="1091" spans="1:37" hidden="1" x14ac:dyDescent="0.25">
      <c r="A1091" t="s">
        <v>334</v>
      </c>
      <c r="B1091" t="s">
        <v>361</v>
      </c>
      <c r="C1091" t="s">
        <v>228</v>
      </c>
      <c r="D1091" t="s">
        <v>196</v>
      </c>
      <c r="E1091" t="s">
        <v>17</v>
      </c>
      <c r="F1091" t="s">
        <v>197</v>
      </c>
      <c r="G1091" t="s">
        <v>612</v>
      </c>
      <c r="H1091" t="s">
        <v>761</v>
      </c>
      <c r="I1091" t="s">
        <v>705</v>
      </c>
      <c r="J1091">
        <f>9*30</f>
        <v>270</v>
      </c>
      <c r="K1091" t="s">
        <v>511</v>
      </c>
      <c r="L1091" t="s">
        <v>36</v>
      </c>
      <c r="M1091" t="str">
        <f>+IF(L1091 = "Control", "Control", "Stress")</f>
        <v>Control</v>
      </c>
      <c r="R1091" t="s">
        <v>408</v>
      </c>
      <c r="S1091" t="s">
        <v>701</v>
      </c>
      <c r="T1091" t="s">
        <v>695</v>
      </c>
      <c r="U1091" t="s">
        <v>609</v>
      </c>
      <c r="V1091" s="1"/>
      <c r="W1091" s="1"/>
      <c r="X1091" s="1"/>
      <c r="Y1091" s="1"/>
      <c r="Z1091" s="1">
        <v>2.0000000000000001E-10</v>
      </c>
      <c r="AA1091" s="1">
        <v>4.5E-10</v>
      </c>
      <c r="AB1091" s="1">
        <v>1.4000000000000001E-7</v>
      </c>
      <c r="AF1091" s="2"/>
      <c r="AG1091" s="2"/>
      <c r="AK1091" t="s">
        <v>360</v>
      </c>
    </row>
    <row r="1092" spans="1:37" hidden="1" x14ac:dyDescent="0.25">
      <c r="A1092" t="s">
        <v>334</v>
      </c>
      <c r="B1092" t="s">
        <v>361</v>
      </c>
      <c r="C1092" t="s">
        <v>228</v>
      </c>
      <c r="D1092" t="s">
        <v>196</v>
      </c>
      <c r="E1092" t="s">
        <v>17</v>
      </c>
      <c r="F1092" t="s">
        <v>197</v>
      </c>
      <c r="G1092" t="s">
        <v>612</v>
      </c>
      <c r="H1092" t="s">
        <v>761</v>
      </c>
      <c r="I1092" t="s">
        <v>705</v>
      </c>
      <c r="J1092">
        <f>9*30</f>
        <v>270</v>
      </c>
      <c r="K1092" t="s">
        <v>692</v>
      </c>
      <c r="L1092" t="s">
        <v>509</v>
      </c>
      <c r="M1092" t="str">
        <f>+IF(L1092 = "Control", "Control", "Stress")</f>
        <v>Stress</v>
      </c>
      <c r="N1092" t="s">
        <v>210</v>
      </c>
      <c r="O1092" t="s">
        <v>707</v>
      </c>
      <c r="R1092" t="s">
        <v>408</v>
      </c>
      <c r="S1092" t="s">
        <v>701</v>
      </c>
      <c r="T1092" t="s">
        <v>695</v>
      </c>
      <c r="U1092" t="s">
        <v>609</v>
      </c>
      <c r="V1092" s="1"/>
      <c r="W1092" s="1"/>
      <c r="X1092" s="1"/>
      <c r="Y1092" s="1"/>
      <c r="Z1092" s="1"/>
      <c r="AA1092" s="1"/>
      <c r="AB1092" s="1">
        <v>8.0000000000000002E-8</v>
      </c>
      <c r="AF1092" s="2"/>
      <c r="AG1092" s="2"/>
      <c r="AK1092" t="s">
        <v>360</v>
      </c>
    </row>
    <row r="1093" spans="1:37" hidden="1" x14ac:dyDescent="0.25">
      <c r="A1093" t="s">
        <v>334</v>
      </c>
      <c r="B1093" t="s">
        <v>361</v>
      </c>
      <c r="C1093" t="s">
        <v>228</v>
      </c>
      <c r="D1093" t="s">
        <v>196</v>
      </c>
      <c r="E1093" t="s">
        <v>17</v>
      </c>
      <c r="F1093" t="s">
        <v>197</v>
      </c>
      <c r="G1093" t="s">
        <v>612</v>
      </c>
      <c r="H1093" t="s">
        <v>761</v>
      </c>
      <c r="I1093" t="s">
        <v>705</v>
      </c>
      <c r="J1093">
        <f>9*30</f>
        <v>270</v>
      </c>
      <c r="K1093" t="s">
        <v>692</v>
      </c>
      <c r="L1093" t="s">
        <v>509</v>
      </c>
      <c r="M1093" t="str">
        <f>+IF(L1093 = "Control", "Control", "Stress")</f>
        <v>Stress</v>
      </c>
      <c r="N1093" t="s">
        <v>349</v>
      </c>
      <c r="O1093" t="s">
        <v>707</v>
      </c>
      <c r="R1093" t="s">
        <v>408</v>
      </c>
      <c r="S1093" t="s">
        <v>701</v>
      </c>
      <c r="T1093" t="s">
        <v>695</v>
      </c>
      <c r="U1093" t="s">
        <v>609</v>
      </c>
      <c r="V1093" s="1"/>
      <c r="W1093" s="1"/>
      <c r="X1093" s="1"/>
      <c r="Y1093" s="1"/>
      <c r="Z1093" s="1"/>
      <c r="AA1093" s="1"/>
      <c r="AB1093" s="1">
        <v>7.1E-8</v>
      </c>
      <c r="AF1093" s="2"/>
      <c r="AG1093" s="2"/>
      <c r="AK1093" t="s">
        <v>360</v>
      </c>
    </row>
    <row r="1094" spans="1:37" hidden="1" x14ac:dyDescent="0.25">
      <c r="A1094" t="s">
        <v>334</v>
      </c>
      <c r="B1094" t="s">
        <v>361</v>
      </c>
      <c r="C1094" t="s">
        <v>228</v>
      </c>
      <c r="D1094" t="s">
        <v>196</v>
      </c>
      <c r="E1094" t="s">
        <v>17</v>
      </c>
      <c r="F1094" t="s">
        <v>197</v>
      </c>
      <c r="G1094" t="s">
        <v>612</v>
      </c>
      <c r="H1094" t="s">
        <v>761</v>
      </c>
      <c r="I1094" t="s">
        <v>705</v>
      </c>
      <c r="J1094">
        <f>9*30</f>
        <v>270</v>
      </c>
      <c r="K1094" t="s">
        <v>692</v>
      </c>
      <c r="L1094" t="s">
        <v>510</v>
      </c>
      <c r="M1094" t="str">
        <f>+IF(L1094 = "Control", "Control", "Stress")</f>
        <v>Stress</v>
      </c>
      <c r="N1094" t="s">
        <v>210</v>
      </c>
      <c r="O1094" t="s">
        <v>707</v>
      </c>
      <c r="R1094" t="s">
        <v>408</v>
      </c>
      <c r="S1094" t="s">
        <v>701</v>
      </c>
      <c r="T1094" t="s">
        <v>695</v>
      </c>
      <c r="U1094" t="s">
        <v>609</v>
      </c>
      <c r="V1094" s="1"/>
      <c r="W1094" s="1"/>
      <c r="X1094" s="1"/>
      <c r="Y1094" s="1"/>
      <c r="Z1094" s="1"/>
      <c r="AA1094" s="1"/>
      <c r="AB1094" s="1">
        <v>1.9000000000000001E-7</v>
      </c>
      <c r="AF1094" s="2"/>
      <c r="AG1094" s="2"/>
      <c r="AK1094" t="s">
        <v>360</v>
      </c>
    </row>
    <row r="1095" spans="1:37" hidden="1" x14ac:dyDescent="0.25">
      <c r="A1095" t="s">
        <v>334</v>
      </c>
      <c r="B1095" t="s">
        <v>361</v>
      </c>
      <c r="C1095" t="s">
        <v>228</v>
      </c>
      <c r="D1095" t="s">
        <v>196</v>
      </c>
      <c r="E1095" t="s">
        <v>17</v>
      </c>
      <c r="F1095" t="s">
        <v>197</v>
      </c>
      <c r="G1095" t="s">
        <v>612</v>
      </c>
      <c r="H1095" t="s">
        <v>761</v>
      </c>
      <c r="I1095" t="s">
        <v>705</v>
      </c>
      <c r="J1095">
        <f>9*30</f>
        <v>270</v>
      </c>
      <c r="K1095" t="s">
        <v>692</v>
      </c>
      <c r="L1095" t="s">
        <v>510</v>
      </c>
      <c r="M1095" t="str">
        <f>+IF(L1095 = "Control", "Control", "Stress")</f>
        <v>Stress</v>
      </c>
      <c r="N1095" t="s">
        <v>349</v>
      </c>
      <c r="O1095" t="s">
        <v>707</v>
      </c>
      <c r="R1095" t="s">
        <v>408</v>
      </c>
      <c r="S1095" t="s">
        <v>701</v>
      </c>
      <c r="T1095" t="s">
        <v>695</v>
      </c>
      <c r="U1095" t="s">
        <v>609</v>
      </c>
      <c r="V1095" s="1"/>
      <c r="W1095" s="1"/>
      <c r="X1095" s="1"/>
      <c r="Y1095" s="1"/>
      <c r="Z1095" s="1"/>
      <c r="AA1095" s="1"/>
      <c r="AB1095" s="1">
        <v>1.9999999999999999E-7</v>
      </c>
      <c r="AF1095" s="2"/>
      <c r="AG1095" s="2"/>
      <c r="AK1095" t="s">
        <v>360</v>
      </c>
    </row>
    <row r="1096" spans="1:37" hidden="1" x14ac:dyDescent="0.25">
      <c r="A1096" t="s">
        <v>223</v>
      </c>
      <c r="B1096" t="s">
        <v>220</v>
      </c>
      <c r="C1096" t="s">
        <v>221</v>
      </c>
      <c r="D1096" t="s">
        <v>89</v>
      </c>
      <c r="E1096" t="s">
        <v>17</v>
      </c>
      <c r="F1096" t="s">
        <v>618</v>
      </c>
      <c r="G1096" t="s">
        <v>618</v>
      </c>
      <c r="H1096" t="s">
        <v>801</v>
      </c>
      <c r="I1096" t="s">
        <v>804</v>
      </c>
      <c r="J1096" s="9">
        <f>'[124]Fiscus&amp;Markhart_1979_Fig4'!$A2</f>
        <v>6</v>
      </c>
      <c r="K1096" t="s">
        <v>756</v>
      </c>
      <c r="L1096" t="s">
        <v>756</v>
      </c>
      <c r="M1096" t="s">
        <v>756</v>
      </c>
      <c r="R1096" t="s">
        <v>408</v>
      </c>
      <c r="S1096" t="s">
        <v>701</v>
      </c>
      <c r="T1096" t="s">
        <v>695</v>
      </c>
      <c r="U1096" t="s">
        <v>609</v>
      </c>
      <c r="V1096" s="1" t="s">
        <v>733</v>
      </c>
      <c r="W1096" s="1">
        <f t="shared" ref="W1096:W1109" si="153">+AB1096*AD1096/10000</f>
        <v>9.5491387473729443E-10</v>
      </c>
      <c r="X1096" s="1"/>
      <c r="Y1096" s="1"/>
      <c r="Z1096" s="1"/>
      <c r="AB1096" s="1">
        <f>'[124]Fiscus&amp;Markhart_1979_Fig4'!C2</f>
        <v>8.3632292101567302E-8</v>
      </c>
      <c r="AD1096" s="9">
        <f>'[124]Fiscus&amp;Markhart_1979_Fig4'!B2</f>
        <v>114.18004346665501</v>
      </c>
      <c r="AF1096" s="2"/>
      <c r="AG1096" s="2"/>
      <c r="AK1096" t="s">
        <v>199</v>
      </c>
    </row>
    <row r="1097" spans="1:37" hidden="1" x14ac:dyDescent="0.25">
      <c r="A1097" t="s">
        <v>223</v>
      </c>
      <c r="B1097" t="s">
        <v>220</v>
      </c>
      <c r="C1097" t="s">
        <v>221</v>
      </c>
      <c r="D1097" t="s">
        <v>89</v>
      </c>
      <c r="E1097" t="s">
        <v>17</v>
      </c>
      <c r="F1097" t="s">
        <v>618</v>
      </c>
      <c r="G1097" t="s">
        <v>618</v>
      </c>
      <c r="H1097" t="s">
        <v>801</v>
      </c>
      <c r="I1097" t="s">
        <v>804</v>
      </c>
      <c r="J1097" s="9">
        <f>'[124]Fiscus&amp;Markhart_1979_Fig4'!$A3</f>
        <v>10</v>
      </c>
      <c r="K1097" t="s">
        <v>756</v>
      </c>
      <c r="L1097" t="s">
        <v>756</v>
      </c>
      <c r="M1097" t="s">
        <v>756</v>
      </c>
      <c r="R1097" t="s">
        <v>408</v>
      </c>
      <c r="S1097" t="s">
        <v>701</v>
      </c>
      <c r="T1097" t="s">
        <v>695</v>
      </c>
      <c r="U1097" t="s">
        <v>609</v>
      </c>
      <c r="V1097" s="1" t="s">
        <v>733</v>
      </c>
      <c r="W1097" s="1">
        <f t="shared" si="153"/>
        <v>3.9065273146539013E-9</v>
      </c>
      <c r="X1097" s="1"/>
      <c r="Y1097" s="1"/>
      <c r="Z1097" s="1"/>
      <c r="AA1097" s="1"/>
      <c r="AB1097" s="1">
        <f>'[124]Fiscus&amp;Markhart_1979_Fig4'!C3</f>
        <v>2.1594337116180199E-7</v>
      </c>
      <c r="AD1097" s="9">
        <f>'[124]Fiscus&amp;Markhart_1979_Fig4'!B3</f>
        <v>180.905174057268</v>
      </c>
      <c r="AF1097" s="2"/>
      <c r="AG1097" s="2"/>
      <c r="AK1097" t="s">
        <v>199</v>
      </c>
    </row>
    <row r="1098" spans="1:37" hidden="1" x14ac:dyDescent="0.25">
      <c r="A1098" t="s">
        <v>223</v>
      </c>
      <c r="B1098" t="s">
        <v>220</v>
      </c>
      <c r="C1098" t="s">
        <v>221</v>
      </c>
      <c r="D1098" t="s">
        <v>89</v>
      </c>
      <c r="E1098" t="s">
        <v>17</v>
      </c>
      <c r="F1098" t="s">
        <v>618</v>
      </c>
      <c r="G1098" t="s">
        <v>618</v>
      </c>
      <c r="H1098" t="s">
        <v>801</v>
      </c>
      <c r="I1098" t="s">
        <v>804</v>
      </c>
      <c r="J1098" s="9">
        <f>'[124]Fiscus&amp;Markhart_1979_Fig4'!$A4</f>
        <v>11</v>
      </c>
      <c r="K1098" t="s">
        <v>756</v>
      </c>
      <c r="L1098" t="s">
        <v>756</v>
      </c>
      <c r="M1098" t="s">
        <v>756</v>
      </c>
      <c r="R1098" t="s">
        <v>408</v>
      </c>
      <c r="S1098" t="s">
        <v>701</v>
      </c>
      <c r="T1098" t="s">
        <v>695</v>
      </c>
      <c r="U1098" t="s">
        <v>609</v>
      </c>
      <c r="V1098" s="1" t="s">
        <v>733</v>
      </c>
      <c r="W1098" s="1">
        <f t="shared" si="153"/>
        <v>7.7852198760146331E-9</v>
      </c>
      <c r="X1098" s="1"/>
      <c r="Y1098" s="1"/>
      <c r="Z1098" s="1"/>
      <c r="AA1098" s="1"/>
      <c r="AB1098" s="1">
        <f>'[124]Fiscus&amp;Markhart_1979_Fig4'!C4</f>
        <v>6.1048544426310299E-7</v>
      </c>
      <c r="AD1098" s="9">
        <f>'[124]Fiscus&amp;Markhart_1979_Fig4'!B4</f>
        <v>127.52506958477802</v>
      </c>
      <c r="AF1098" s="2"/>
      <c r="AG1098" s="2"/>
      <c r="AK1098" t="s">
        <v>199</v>
      </c>
    </row>
    <row r="1099" spans="1:37" hidden="1" x14ac:dyDescent="0.25">
      <c r="A1099" t="s">
        <v>223</v>
      </c>
      <c r="B1099" t="s">
        <v>220</v>
      </c>
      <c r="C1099" t="s">
        <v>221</v>
      </c>
      <c r="D1099" t="s">
        <v>89</v>
      </c>
      <c r="E1099" t="s">
        <v>17</v>
      </c>
      <c r="F1099" t="s">
        <v>618</v>
      </c>
      <c r="G1099" t="s">
        <v>618</v>
      </c>
      <c r="H1099" t="s">
        <v>801</v>
      </c>
      <c r="I1099" t="s">
        <v>804</v>
      </c>
      <c r="J1099" s="9">
        <f>'[124]Fiscus&amp;Markhart_1979_Fig4'!$A5</f>
        <v>12</v>
      </c>
      <c r="K1099" t="s">
        <v>756</v>
      </c>
      <c r="L1099" t="s">
        <v>756</v>
      </c>
      <c r="M1099" t="s">
        <v>756</v>
      </c>
      <c r="R1099" t="s">
        <v>408</v>
      </c>
      <c r="S1099" t="s">
        <v>701</v>
      </c>
      <c r="T1099" t="s">
        <v>695</v>
      </c>
      <c r="U1099" t="s">
        <v>609</v>
      </c>
      <c r="V1099" s="1" t="s">
        <v>733</v>
      </c>
      <c r="W1099" s="1">
        <f t="shared" si="153"/>
        <v>1.1105731635063803E-8</v>
      </c>
      <c r="X1099" s="1"/>
      <c r="Y1099" s="1"/>
      <c r="Z1099" s="1"/>
      <c r="AA1099" s="1"/>
      <c r="AB1099" s="1">
        <f>'[124]Fiscus&amp;Markhart_1979_Fig4'!C5</f>
        <v>4.0484533343454599E-7</v>
      </c>
      <c r="AD1099" s="9">
        <f>'[124]Fiscus&amp;Markhart_1979_Fig4'!B5</f>
        <v>274.32035688412697</v>
      </c>
      <c r="AF1099" s="2"/>
      <c r="AG1099" s="2"/>
      <c r="AK1099" t="s">
        <v>199</v>
      </c>
    </row>
    <row r="1100" spans="1:37" hidden="1" x14ac:dyDescent="0.25">
      <c r="A1100" t="s">
        <v>223</v>
      </c>
      <c r="B1100" t="s">
        <v>220</v>
      </c>
      <c r="C1100" t="s">
        <v>221</v>
      </c>
      <c r="D1100" t="s">
        <v>89</v>
      </c>
      <c r="E1100" t="s">
        <v>17</v>
      </c>
      <c r="F1100" t="s">
        <v>618</v>
      </c>
      <c r="G1100" t="s">
        <v>618</v>
      </c>
      <c r="H1100" t="s">
        <v>801</v>
      </c>
      <c r="I1100" t="s">
        <v>804</v>
      </c>
      <c r="J1100" s="9">
        <f>'[124]Fiscus&amp;Markhart_1979_Fig4'!$A6</f>
        <v>18</v>
      </c>
      <c r="K1100" t="s">
        <v>756</v>
      </c>
      <c r="L1100" t="s">
        <v>756</v>
      </c>
      <c r="M1100" t="s">
        <v>756</v>
      </c>
      <c r="R1100" t="s">
        <v>408</v>
      </c>
      <c r="S1100" t="s">
        <v>701</v>
      </c>
      <c r="T1100" t="s">
        <v>695</v>
      </c>
      <c r="U1100" t="s">
        <v>609</v>
      </c>
      <c r="V1100" s="1" t="s">
        <v>733</v>
      </c>
      <c r="W1100" s="1">
        <f t="shared" si="153"/>
        <v>4.4679102250601757E-8</v>
      </c>
      <c r="X1100" s="1"/>
      <c r="Y1100" s="1"/>
      <c r="Z1100" s="1"/>
      <c r="AA1100" s="1"/>
      <c r="AB1100" s="1">
        <f>'[124]Fiscus&amp;Markhart_1979_Fig4'!C6</f>
        <v>4.6143621664705601E-7</v>
      </c>
      <c r="AD1100" s="9">
        <f>'[124]Fiscus&amp;Markhart_1979_Fig4'!B6</f>
        <v>968.26171502649902</v>
      </c>
      <c r="AF1100" s="2"/>
      <c r="AG1100" s="2"/>
      <c r="AK1100" t="s">
        <v>199</v>
      </c>
    </row>
    <row r="1101" spans="1:37" hidden="1" x14ac:dyDescent="0.25">
      <c r="A1101" t="s">
        <v>223</v>
      </c>
      <c r="B1101" t="s">
        <v>220</v>
      </c>
      <c r="C1101" t="s">
        <v>221</v>
      </c>
      <c r="D1101" t="s">
        <v>89</v>
      </c>
      <c r="E1101" t="s">
        <v>17</v>
      </c>
      <c r="F1101" t="s">
        <v>618</v>
      </c>
      <c r="G1101" t="s">
        <v>618</v>
      </c>
      <c r="H1101" t="s">
        <v>801</v>
      </c>
      <c r="I1101" t="s">
        <v>804</v>
      </c>
      <c r="J1101" s="9">
        <f>'[124]Fiscus&amp;Markhart_1979_Fig4'!$A7</f>
        <v>19</v>
      </c>
      <c r="K1101" t="s">
        <v>756</v>
      </c>
      <c r="L1101" t="s">
        <v>756</v>
      </c>
      <c r="M1101" t="s">
        <v>756</v>
      </c>
      <c r="R1101" t="s">
        <v>408</v>
      </c>
      <c r="S1101" t="s">
        <v>701</v>
      </c>
      <c r="T1101" t="s">
        <v>695</v>
      </c>
      <c r="U1101" t="s">
        <v>609</v>
      </c>
      <c r="V1101" s="1" t="s">
        <v>733</v>
      </c>
      <c r="W1101" s="1">
        <f t="shared" si="153"/>
        <v>5.8271758403908484E-8</v>
      </c>
      <c r="X1101" s="1"/>
      <c r="Y1101" s="1"/>
      <c r="Z1101" s="1"/>
      <c r="AA1101" s="1"/>
      <c r="AB1101" s="1">
        <f>'[124]Fiscus&amp;Markhart_1979_Fig4'!C7</f>
        <v>5.0447717007628895E-7</v>
      </c>
      <c r="AD1101" s="9">
        <f>'[124]Fiscus&amp;Markhart_1979_Fig4'!B7</f>
        <v>1155.0920806802101</v>
      </c>
      <c r="AF1101" s="2"/>
      <c r="AG1101" s="2"/>
      <c r="AK1101" t="s">
        <v>199</v>
      </c>
    </row>
    <row r="1102" spans="1:37" hidden="1" x14ac:dyDescent="0.25">
      <c r="A1102" t="s">
        <v>223</v>
      </c>
      <c r="B1102" t="s">
        <v>220</v>
      </c>
      <c r="C1102" t="s">
        <v>221</v>
      </c>
      <c r="D1102" t="s">
        <v>89</v>
      </c>
      <c r="E1102" t="s">
        <v>17</v>
      </c>
      <c r="F1102" t="s">
        <v>618</v>
      </c>
      <c r="G1102" t="s">
        <v>618</v>
      </c>
      <c r="H1102" t="s">
        <v>801</v>
      </c>
      <c r="I1102" t="s">
        <v>804</v>
      </c>
      <c r="J1102" s="9">
        <f>'[124]Fiscus&amp;Markhart_1979_Fig4'!$A8</f>
        <v>25</v>
      </c>
      <c r="K1102" t="s">
        <v>756</v>
      </c>
      <c r="L1102" t="s">
        <v>756</v>
      </c>
      <c r="M1102" t="s">
        <v>756</v>
      </c>
      <c r="R1102" t="s">
        <v>408</v>
      </c>
      <c r="S1102" t="s">
        <v>701</v>
      </c>
      <c r="T1102" t="s">
        <v>695</v>
      </c>
      <c r="U1102" t="s">
        <v>609</v>
      </c>
      <c r="V1102" s="1" t="s">
        <v>733</v>
      </c>
      <c r="W1102" s="1">
        <f t="shared" si="153"/>
        <v>8.3651692445822578E-8</v>
      </c>
      <c r="X1102" s="1"/>
      <c r="Y1102" s="1"/>
      <c r="Z1102" s="1"/>
      <c r="AA1102" s="1"/>
      <c r="AB1102" s="1">
        <f>'[124]Fiscus&amp;Markhart_1979_Fig4'!C8</f>
        <v>3.5303677838083999E-7</v>
      </c>
      <c r="AD1102" s="9">
        <f>'[124]Fiscus&amp;Markhart_1979_Fig4'!B8</f>
        <v>2369.4894574293598</v>
      </c>
      <c r="AF1102" s="2"/>
      <c r="AG1102" s="2"/>
      <c r="AK1102" t="s">
        <v>199</v>
      </c>
    </row>
    <row r="1103" spans="1:37" hidden="1" x14ac:dyDescent="0.25">
      <c r="A1103" t="s">
        <v>223</v>
      </c>
      <c r="B1103" t="s">
        <v>220</v>
      </c>
      <c r="C1103" t="s">
        <v>221</v>
      </c>
      <c r="D1103" t="s">
        <v>89</v>
      </c>
      <c r="E1103" t="s">
        <v>17</v>
      </c>
      <c r="F1103" t="s">
        <v>618</v>
      </c>
      <c r="G1103" t="s">
        <v>618</v>
      </c>
      <c r="H1103" t="s">
        <v>801</v>
      </c>
      <c r="I1103" t="s">
        <v>804</v>
      </c>
      <c r="J1103" s="9">
        <f>'[124]Fiscus&amp;Markhart_1979_Fig4'!$A9</f>
        <v>27</v>
      </c>
      <c r="K1103" t="s">
        <v>756</v>
      </c>
      <c r="L1103" t="s">
        <v>756</v>
      </c>
      <c r="M1103" t="s">
        <v>756</v>
      </c>
      <c r="R1103" t="s">
        <v>408</v>
      </c>
      <c r="S1103" t="s">
        <v>701</v>
      </c>
      <c r="T1103" t="s">
        <v>695</v>
      </c>
      <c r="U1103" t="s">
        <v>609</v>
      </c>
      <c r="V1103" s="1" t="s">
        <v>733</v>
      </c>
      <c r="W1103" s="1">
        <f t="shared" si="153"/>
        <v>4.685998778045403E-8</v>
      </c>
      <c r="X1103" s="1"/>
      <c r="Y1103" s="1"/>
      <c r="Z1103" s="1"/>
      <c r="AA1103" s="1"/>
      <c r="AB1103" s="1">
        <f>'[124]Fiscus&amp;Markhart_1979_Fig4'!C9</f>
        <v>2.0956693361672999E-7</v>
      </c>
      <c r="AD1103" s="9">
        <f>'[124]Fiscus&amp;Markhart_1979_Fig4'!B9</f>
        <v>2236.0391962481403</v>
      </c>
      <c r="AF1103" s="2"/>
      <c r="AG1103" s="2"/>
      <c r="AK1103" t="s">
        <v>199</v>
      </c>
    </row>
    <row r="1104" spans="1:37" hidden="1" x14ac:dyDescent="0.25">
      <c r="A1104" t="s">
        <v>223</v>
      </c>
      <c r="B1104" t="s">
        <v>220</v>
      </c>
      <c r="C1104" t="s">
        <v>221</v>
      </c>
      <c r="D1104" t="s">
        <v>89</v>
      </c>
      <c r="E1104" t="s">
        <v>17</v>
      </c>
      <c r="F1104" t="s">
        <v>618</v>
      </c>
      <c r="G1104" t="s">
        <v>618</v>
      </c>
      <c r="H1104" t="s">
        <v>801</v>
      </c>
      <c r="I1104" t="s">
        <v>804</v>
      </c>
      <c r="J1104" s="9">
        <f>'[124]Fiscus&amp;Markhart_1979_Fig4'!$A10</f>
        <v>28</v>
      </c>
      <c r="K1104" t="s">
        <v>756</v>
      </c>
      <c r="L1104" t="s">
        <v>756</v>
      </c>
      <c r="M1104" t="s">
        <v>756</v>
      </c>
      <c r="R1104" t="s">
        <v>408</v>
      </c>
      <c r="S1104" t="s">
        <v>701</v>
      </c>
      <c r="T1104" t="s">
        <v>695</v>
      </c>
      <c r="U1104" t="s">
        <v>609</v>
      </c>
      <c r="V1104" s="1" t="s">
        <v>733</v>
      </c>
      <c r="W1104" s="1">
        <f t="shared" si="153"/>
        <v>7.3317345956394709E-8</v>
      </c>
      <c r="X1104" s="1"/>
      <c r="Y1104" s="1"/>
      <c r="Z1104" s="1"/>
      <c r="AA1104" s="1"/>
      <c r="AB1104" s="1">
        <f>'[124]Fiscus&amp;Markhart_1979_Fig4'!C10</f>
        <v>2.6217254336356998E-7</v>
      </c>
      <c r="AD1104" s="9">
        <f>'[124]Fiscus&amp;Markhart_1979_Fig4'!B10</f>
        <v>2796.53029320928</v>
      </c>
      <c r="AF1104" s="2"/>
      <c r="AG1104" s="2"/>
      <c r="AK1104" t="s">
        <v>199</v>
      </c>
    </row>
    <row r="1105" spans="1:37" hidden="1" x14ac:dyDescent="0.25">
      <c r="A1105" t="s">
        <v>223</v>
      </c>
      <c r="B1105" t="s">
        <v>220</v>
      </c>
      <c r="C1105" t="s">
        <v>221</v>
      </c>
      <c r="D1105" t="s">
        <v>89</v>
      </c>
      <c r="E1105" t="s">
        <v>17</v>
      </c>
      <c r="F1105" t="s">
        <v>618</v>
      </c>
      <c r="G1105" t="s">
        <v>618</v>
      </c>
      <c r="H1105" t="s">
        <v>801</v>
      </c>
      <c r="I1105" t="s">
        <v>804</v>
      </c>
      <c r="J1105" s="9">
        <f>'[124]Fiscus&amp;Markhart_1979_Fig4'!$A11</f>
        <v>32</v>
      </c>
      <c r="K1105" t="s">
        <v>756</v>
      </c>
      <c r="L1105" t="s">
        <v>756</v>
      </c>
      <c r="M1105" t="s">
        <v>756</v>
      </c>
      <c r="R1105" t="s">
        <v>408</v>
      </c>
      <c r="S1105" t="s">
        <v>701</v>
      </c>
      <c r="T1105" t="s">
        <v>695</v>
      </c>
      <c r="U1105" t="s">
        <v>609</v>
      </c>
      <c r="V1105" s="1" t="s">
        <v>733</v>
      </c>
      <c r="W1105" s="1">
        <f t="shared" si="153"/>
        <v>8.8711623486417315E-8</v>
      </c>
      <c r="X1105" s="1"/>
      <c r="Y1105" s="1"/>
      <c r="Z1105" s="1"/>
      <c r="AA1105" s="1"/>
      <c r="AB1105" s="1">
        <f>'[124]Fiscus&amp;Markhart_1979_Fig4'!C11</f>
        <v>2.6217254336356998E-7</v>
      </c>
      <c r="AD1105" s="9">
        <f>'[124]Fiscus&amp;Markhart_1979_Fig4'!B11</f>
        <v>3383.7114424066799</v>
      </c>
      <c r="AF1105" s="2"/>
      <c r="AG1105" s="2"/>
      <c r="AK1105" t="s">
        <v>199</v>
      </c>
    </row>
    <row r="1106" spans="1:37" hidden="1" x14ac:dyDescent="0.25">
      <c r="A1106" t="s">
        <v>223</v>
      </c>
      <c r="B1106" t="s">
        <v>220</v>
      </c>
      <c r="C1106" t="s">
        <v>221</v>
      </c>
      <c r="D1106" t="s">
        <v>89</v>
      </c>
      <c r="E1106" t="s">
        <v>17</v>
      </c>
      <c r="F1106" t="s">
        <v>618</v>
      </c>
      <c r="G1106" t="s">
        <v>618</v>
      </c>
      <c r="H1106" t="s">
        <v>801</v>
      </c>
      <c r="I1106" t="s">
        <v>804</v>
      </c>
      <c r="J1106" s="9">
        <f>'[124]Fiscus&amp;Markhart_1979_Fig4'!$A12</f>
        <v>33</v>
      </c>
      <c r="K1106" t="s">
        <v>756</v>
      </c>
      <c r="L1106" t="s">
        <v>756</v>
      </c>
      <c r="M1106" t="s">
        <v>756</v>
      </c>
      <c r="R1106" t="s">
        <v>408</v>
      </c>
      <c r="S1106" t="s">
        <v>701</v>
      </c>
      <c r="T1106" t="s">
        <v>695</v>
      </c>
      <c r="U1106" t="s">
        <v>609</v>
      </c>
      <c r="V1106" s="1" t="s">
        <v>733</v>
      </c>
      <c r="W1106" s="1">
        <f t="shared" si="153"/>
        <v>5.8685045864989368E-8</v>
      </c>
      <c r="X1106" s="1"/>
      <c r="Y1106" s="1"/>
      <c r="Z1106" s="1"/>
      <c r="AA1106" s="1"/>
      <c r="AB1106" s="1">
        <f>'[124]Fiscus&amp;Markhart_1979_Fig4'!C12</f>
        <v>1.20296807985728E-7</v>
      </c>
      <c r="AD1106" s="9">
        <f>'[124]Fiscus&amp;Markhart_1979_Fig4'!B12</f>
        <v>4878.3543676364006</v>
      </c>
      <c r="AF1106" s="2"/>
      <c r="AG1106" s="2"/>
      <c r="AK1106" t="s">
        <v>199</v>
      </c>
    </row>
    <row r="1107" spans="1:37" hidden="1" x14ac:dyDescent="0.25">
      <c r="A1107" t="s">
        <v>223</v>
      </c>
      <c r="B1107" t="s">
        <v>220</v>
      </c>
      <c r="C1107" t="s">
        <v>221</v>
      </c>
      <c r="D1107" t="s">
        <v>89</v>
      </c>
      <c r="E1107" t="s">
        <v>17</v>
      </c>
      <c r="F1107" t="s">
        <v>618</v>
      </c>
      <c r="G1107" t="s">
        <v>618</v>
      </c>
      <c r="H1107" t="s">
        <v>801</v>
      </c>
      <c r="I1107" t="s">
        <v>804</v>
      </c>
      <c r="J1107" s="9">
        <f>'[124]Fiscus&amp;Markhart_1979_Fig4'!$A13</f>
        <v>39</v>
      </c>
      <c r="K1107" t="s">
        <v>756</v>
      </c>
      <c r="L1107" t="s">
        <v>756</v>
      </c>
      <c r="M1107" t="s">
        <v>756</v>
      </c>
      <c r="R1107" t="s">
        <v>408</v>
      </c>
      <c r="S1107" t="s">
        <v>701</v>
      </c>
      <c r="T1107" t="s">
        <v>695</v>
      </c>
      <c r="U1107" t="s">
        <v>609</v>
      </c>
      <c r="V1107" s="1" t="s">
        <v>733</v>
      </c>
      <c r="W1107" s="1">
        <f t="shared" si="153"/>
        <v>9.8879882624030048E-8</v>
      </c>
      <c r="X1107" s="1"/>
      <c r="Y1107" s="1"/>
      <c r="Z1107" s="1"/>
      <c r="AA1107" s="1"/>
      <c r="AB1107" s="1">
        <f>'[124]Fiscus&amp;Markhart_1979_Fig4'!C13</f>
        <v>1.8406118343644399E-7</v>
      </c>
      <c r="AD1107" s="9">
        <f>'[124]Fiscus&amp;Markhart_1979_Fig4'!B13</f>
        <v>5372.1203340069305</v>
      </c>
      <c r="AF1107" s="2"/>
      <c r="AG1107" s="2"/>
      <c r="AK1107" t="s">
        <v>199</v>
      </c>
    </row>
    <row r="1108" spans="1:37" hidden="1" x14ac:dyDescent="0.25">
      <c r="A1108" t="s">
        <v>223</v>
      </c>
      <c r="B1108" t="s">
        <v>220</v>
      </c>
      <c r="C1108" t="s">
        <v>221</v>
      </c>
      <c r="D1108" t="s">
        <v>89</v>
      </c>
      <c r="E1108" t="s">
        <v>17</v>
      </c>
      <c r="F1108" t="s">
        <v>618</v>
      </c>
      <c r="G1108" t="s">
        <v>618</v>
      </c>
      <c r="H1108" t="s">
        <v>801</v>
      </c>
      <c r="I1108" t="s">
        <v>804</v>
      </c>
      <c r="J1108" s="9">
        <f>'[124]Fiscus&amp;Markhart_1979_Fig4'!$A14</f>
        <v>40</v>
      </c>
      <c r="K1108" t="s">
        <v>756</v>
      </c>
      <c r="L1108" t="s">
        <v>756</v>
      </c>
      <c r="M1108" t="s">
        <v>756</v>
      </c>
      <c r="R1108" t="s">
        <v>408</v>
      </c>
      <c r="S1108" t="s">
        <v>701</v>
      </c>
      <c r="T1108" t="s">
        <v>695</v>
      </c>
      <c r="U1108" t="s">
        <v>609</v>
      </c>
      <c r="V1108" s="1" t="s">
        <v>733</v>
      </c>
      <c r="W1108" s="1">
        <f t="shared" si="153"/>
        <v>1.0783929178668676E-7</v>
      </c>
      <c r="X1108" s="1"/>
      <c r="Y1108" s="1"/>
      <c r="Z1108" s="1"/>
      <c r="AA1108" s="1"/>
      <c r="AB1108" s="1">
        <f>'[124]Fiscus&amp;Markhart_1979_Fig4'!C14</f>
        <v>1.87249402208979E-7</v>
      </c>
      <c r="AD1108" s="9">
        <f>'[124]Fiscus&amp;Markhart_1979_Fig4'!B14</f>
        <v>5759.1260914324903</v>
      </c>
      <c r="AF1108" s="2"/>
      <c r="AG1108" s="2"/>
      <c r="AK1108" t="s">
        <v>199</v>
      </c>
    </row>
    <row r="1109" spans="1:37" hidden="1" x14ac:dyDescent="0.25">
      <c r="A1109" t="s">
        <v>223</v>
      </c>
      <c r="B1109" t="s">
        <v>220</v>
      </c>
      <c r="C1109" t="s">
        <v>221</v>
      </c>
      <c r="D1109" t="s">
        <v>89</v>
      </c>
      <c r="E1109" t="s">
        <v>17</v>
      </c>
      <c r="F1109" t="s">
        <v>618</v>
      </c>
      <c r="G1109" t="s">
        <v>618</v>
      </c>
      <c r="H1109" t="s">
        <v>801</v>
      </c>
      <c r="I1109" t="s">
        <v>804</v>
      </c>
      <c r="J1109" s="9">
        <f>'[124]Fiscus&amp;Markhart_1979_Fig4'!$A15</f>
        <v>41</v>
      </c>
      <c r="K1109" t="s">
        <v>756</v>
      </c>
      <c r="L1109" t="s">
        <v>756</v>
      </c>
      <c r="M1109" t="s">
        <v>756</v>
      </c>
      <c r="R1109" t="s">
        <v>408</v>
      </c>
      <c r="S1109" t="s">
        <v>701</v>
      </c>
      <c r="T1109" t="s">
        <v>695</v>
      </c>
      <c r="U1109" t="s">
        <v>609</v>
      </c>
      <c r="V1109" s="1" t="s">
        <v>733</v>
      </c>
      <c r="W1109" s="1">
        <f t="shared" si="153"/>
        <v>1.6805289692203798E-7</v>
      </c>
      <c r="X1109" s="1"/>
      <c r="Y1109" s="1"/>
      <c r="Z1109" s="1"/>
      <c r="AA1109" s="1"/>
      <c r="AB1109" s="1">
        <f>'[124]Fiscus&amp;Markhart_1979_Fig4'!C15</f>
        <v>2.4144912134208799E-7</v>
      </c>
      <c r="AD1109" s="9">
        <f>'[124]Fiscus&amp;Markhart_1979_Fig4'!B15</f>
        <v>6960.1784420635204</v>
      </c>
      <c r="AF1109" s="2"/>
      <c r="AG1109" s="2"/>
      <c r="AK1109" t="s">
        <v>199</v>
      </c>
    </row>
    <row r="1110" spans="1:37" hidden="1" x14ac:dyDescent="0.25">
      <c r="A1110" t="s">
        <v>387</v>
      </c>
      <c r="B1110" t="s">
        <v>98</v>
      </c>
      <c r="C1110" t="s">
        <v>99</v>
      </c>
      <c r="D1110" t="s">
        <v>89</v>
      </c>
      <c r="E1110" t="s">
        <v>17</v>
      </c>
      <c r="F1110" t="s">
        <v>618</v>
      </c>
      <c r="G1110" t="s">
        <v>618</v>
      </c>
      <c r="H1110" t="s">
        <v>801</v>
      </c>
      <c r="I1110" t="s">
        <v>804</v>
      </c>
      <c r="J1110">
        <f>+AVERAGE(45,60)</f>
        <v>52.5</v>
      </c>
      <c r="K1110" t="s">
        <v>756</v>
      </c>
      <c r="L1110" t="s">
        <v>756</v>
      </c>
      <c r="M1110" t="s">
        <v>756</v>
      </c>
      <c r="R1110" t="s">
        <v>408</v>
      </c>
      <c r="S1110" t="s">
        <v>701</v>
      </c>
      <c r="T1110" t="s">
        <v>695</v>
      </c>
      <c r="U1110" t="s">
        <v>609</v>
      </c>
      <c r="V1110" s="1"/>
      <c r="W1110" s="1"/>
      <c r="AB1110" s="1">
        <v>2.65E-7</v>
      </c>
      <c r="AK1110" t="s">
        <v>199</v>
      </c>
    </row>
    <row r="1111" spans="1:37" hidden="1" x14ac:dyDescent="0.25">
      <c r="A1111" t="s">
        <v>335</v>
      </c>
      <c r="B1111" t="s">
        <v>215</v>
      </c>
      <c r="C1111" t="s">
        <v>216</v>
      </c>
      <c r="D1111" t="s">
        <v>89</v>
      </c>
      <c r="E1111" t="s">
        <v>17</v>
      </c>
      <c r="F1111" t="s">
        <v>618</v>
      </c>
      <c r="G1111" t="s">
        <v>618</v>
      </c>
      <c r="H1111" t="s">
        <v>801</v>
      </c>
      <c r="I1111" t="s">
        <v>804</v>
      </c>
      <c r="J1111">
        <f>+AVERAGE(3,4)*7</f>
        <v>24.5</v>
      </c>
      <c r="K1111" t="s">
        <v>756</v>
      </c>
      <c r="L1111" t="s">
        <v>756</v>
      </c>
      <c r="M1111" t="s">
        <v>756</v>
      </c>
      <c r="R1111" t="s">
        <v>408</v>
      </c>
      <c r="S1111" t="s">
        <v>701</v>
      </c>
      <c r="T1111" t="s">
        <v>695</v>
      </c>
      <c r="U1111" t="s">
        <v>610</v>
      </c>
      <c r="V1111" s="1" t="s">
        <v>733</v>
      </c>
      <c r="W1111" s="1">
        <f t="shared" ref="W1111:W1115" si="154">+AB1111*AD1111/10000</f>
        <v>1.6794000000000002E-10</v>
      </c>
      <c r="AA1111" s="1">
        <v>3E-11</v>
      </c>
      <c r="AB1111" s="1">
        <v>5.4000000000000004E-9</v>
      </c>
      <c r="AD1111">
        <f>+AVERAGE(239,383)</f>
        <v>311</v>
      </c>
      <c r="AH1111" s="2">
        <v>0.72</v>
      </c>
      <c r="AK1111" t="s">
        <v>348</v>
      </c>
    </row>
    <row r="1112" spans="1:37" hidden="1" x14ac:dyDescent="0.25">
      <c r="A1112" t="s">
        <v>335</v>
      </c>
      <c r="B1112" t="s">
        <v>220</v>
      </c>
      <c r="C1112" t="s">
        <v>221</v>
      </c>
      <c r="D1112" t="s">
        <v>89</v>
      </c>
      <c r="E1112" t="s">
        <v>17</v>
      </c>
      <c r="F1112" t="s">
        <v>618</v>
      </c>
      <c r="G1112" t="s">
        <v>618</v>
      </c>
      <c r="H1112" t="s">
        <v>801</v>
      </c>
      <c r="I1112" t="s">
        <v>804</v>
      </c>
      <c r="J1112">
        <f>+AVERAGE(2,3)*7</f>
        <v>17.5</v>
      </c>
      <c r="K1112" t="s">
        <v>756</v>
      </c>
      <c r="L1112" t="s">
        <v>756</v>
      </c>
      <c r="M1112" t="s">
        <v>756</v>
      </c>
      <c r="R1112" t="s">
        <v>408</v>
      </c>
      <c r="S1112" t="s">
        <v>701</v>
      </c>
      <c r="T1112" t="s">
        <v>695</v>
      </c>
      <c r="U1112" t="s">
        <v>610</v>
      </c>
      <c r="V1112" s="1" t="s">
        <v>733</v>
      </c>
      <c r="W1112" s="1">
        <f t="shared" si="154"/>
        <v>3.9115999999999997E-10</v>
      </c>
      <c r="AA1112" s="1">
        <v>6.2000000000000006E-11</v>
      </c>
      <c r="AB1112" s="1">
        <v>5.6000000000000005E-9</v>
      </c>
      <c r="AD1112">
        <f>+AVERAGE(203,1194)</f>
        <v>698.5</v>
      </c>
      <c r="AH1112" s="2">
        <v>0.28999999999999998</v>
      </c>
      <c r="AK1112" t="s">
        <v>348</v>
      </c>
    </row>
    <row r="1113" spans="1:37" hidden="1" x14ac:dyDescent="0.25">
      <c r="A1113" t="s">
        <v>335</v>
      </c>
      <c r="B1113" t="s">
        <v>63</v>
      </c>
      <c r="C1113" t="s">
        <v>64</v>
      </c>
      <c r="D1113" t="s">
        <v>65</v>
      </c>
      <c r="E1113" t="s">
        <v>17</v>
      </c>
      <c r="F1113" t="s">
        <v>614</v>
      </c>
      <c r="G1113" t="s">
        <v>614</v>
      </c>
      <c r="H1113" t="s">
        <v>801</v>
      </c>
      <c r="I1113" t="s">
        <v>804</v>
      </c>
      <c r="J1113">
        <f>+AVERAGE(3,5)*7</f>
        <v>28</v>
      </c>
      <c r="K1113" t="s">
        <v>756</v>
      </c>
      <c r="L1113" t="s">
        <v>756</v>
      </c>
      <c r="M1113" t="s">
        <v>756</v>
      </c>
      <c r="R1113" t="s">
        <v>408</v>
      </c>
      <c r="S1113" t="s">
        <v>701</v>
      </c>
      <c r="T1113" t="s">
        <v>695</v>
      </c>
      <c r="U1113" t="s">
        <v>610</v>
      </c>
      <c r="V1113" s="1" t="s">
        <v>733</v>
      </c>
      <c r="W1113" s="1">
        <f t="shared" si="154"/>
        <v>3.3902499999999997E-10</v>
      </c>
      <c r="AA1113" s="1">
        <v>7.5999999999999996E-11</v>
      </c>
      <c r="AB1113" s="1">
        <v>7.0999999999999999E-9</v>
      </c>
      <c r="AD1113">
        <f>+AVERAGE(86,869)</f>
        <v>477.5</v>
      </c>
      <c r="AH1113" s="2">
        <v>0.33</v>
      </c>
      <c r="AK1113" t="s">
        <v>348</v>
      </c>
    </row>
    <row r="1114" spans="1:37" hidden="1" x14ac:dyDescent="0.25">
      <c r="A1114" t="s">
        <v>335</v>
      </c>
      <c r="B1114" t="s">
        <v>50</v>
      </c>
      <c r="C1114" t="s">
        <v>51</v>
      </c>
      <c r="D1114" t="s">
        <v>16</v>
      </c>
      <c r="E1114" t="s">
        <v>29</v>
      </c>
      <c r="F1114" t="s">
        <v>30</v>
      </c>
      <c r="G1114" t="s">
        <v>30</v>
      </c>
      <c r="H1114" t="s">
        <v>30</v>
      </c>
      <c r="I1114" t="s">
        <v>704</v>
      </c>
      <c r="J1114">
        <f>+AVERAGE(3,4)*7</f>
        <v>24.5</v>
      </c>
      <c r="K1114" t="s">
        <v>756</v>
      </c>
      <c r="L1114" t="s">
        <v>756</v>
      </c>
      <c r="M1114" t="s">
        <v>756</v>
      </c>
      <c r="R1114" t="s">
        <v>408</v>
      </c>
      <c r="S1114" t="s">
        <v>701</v>
      </c>
      <c r="T1114" t="s">
        <v>695</v>
      </c>
      <c r="U1114" t="s">
        <v>610</v>
      </c>
      <c r="V1114" s="1" t="s">
        <v>733</v>
      </c>
      <c r="W1114" s="1">
        <f t="shared" si="154"/>
        <v>7.2594000000000008E-10</v>
      </c>
      <c r="AA1114" s="1">
        <v>1.96E-10</v>
      </c>
      <c r="AB1114" s="1">
        <v>2.2200000000000004E-8</v>
      </c>
      <c r="AD1114">
        <f>+AVERAGE(85,569)</f>
        <v>327</v>
      </c>
      <c r="AH1114" s="2">
        <v>0.34</v>
      </c>
      <c r="AK1114" t="s">
        <v>348</v>
      </c>
    </row>
    <row r="1115" spans="1:37" hidden="1" x14ac:dyDescent="0.25">
      <c r="A1115" t="s">
        <v>335</v>
      </c>
      <c r="B1115" t="s">
        <v>32</v>
      </c>
      <c r="C1115" t="s">
        <v>33</v>
      </c>
      <c r="D1115" t="s">
        <v>34</v>
      </c>
      <c r="E1115" t="s">
        <v>17</v>
      </c>
      <c r="F1115" t="s">
        <v>614</v>
      </c>
      <c r="G1115" t="s">
        <v>614</v>
      </c>
      <c r="H1115" t="s">
        <v>801</v>
      </c>
      <c r="I1115" t="s">
        <v>804</v>
      </c>
      <c r="J1115">
        <f>+AVERAGE(5,6)*7</f>
        <v>38.5</v>
      </c>
      <c r="K1115" t="s">
        <v>756</v>
      </c>
      <c r="L1115" t="s">
        <v>756</v>
      </c>
      <c r="M1115" t="s">
        <v>756</v>
      </c>
      <c r="R1115" t="s">
        <v>408</v>
      </c>
      <c r="S1115" t="s">
        <v>701</v>
      </c>
      <c r="T1115" t="s">
        <v>695</v>
      </c>
      <c r="U1115" t="s">
        <v>610</v>
      </c>
      <c r="V1115" s="1" t="s">
        <v>733</v>
      </c>
      <c r="W1115" s="1">
        <f t="shared" si="154"/>
        <v>2.0621249999999998E-9</v>
      </c>
      <c r="AA1115" s="1">
        <v>9.89E-10</v>
      </c>
      <c r="AB1115" s="1">
        <v>6.1099999999999998E-8</v>
      </c>
      <c r="AD1115">
        <f>+AVERAGE(122,553)</f>
        <v>337.5</v>
      </c>
      <c r="AH1115" s="2">
        <v>0.22</v>
      </c>
      <c r="AK1115" t="s">
        <v>348</v>
      </c>
    </row>
    <row r="1119" spans="1:37" x14ac:dyDescent="0.25">
      <c r="P1119" s="1"/>
    </row>
    <row r="1120" spans="1:37" x14ac:dyDescent="0.25">
      <c r="P1120" s="1"/>
    </row>
    <row r="1121" spans="7:16" x14ac:dyDescent="0.25">
      <c r="P1121" s="1"/>
    </row>
    <row r="1122" spans="7:16" x14ac:dyDescent="0.25">
      <c r="P1122" s="1"/>
    </row>
    <row r="1123" spans="7:16" x14ac:dyDescent="0.25">
      <c r="G1123" s="1"/>
      <c r="P1123" s="1"/>
    </row>
    <row r="1124" spans="7:16" x14ac:dyDescent="0.25">
      <c r="P1124" s="1"/>
    </row>
    <row r="1125" spans="7:16" x14ac:dyDescent="0.25">
      <c r="P1125" s="1"/>
    </row>
    <row r="1126" spans="7:16" x14ac:dyDescent="0.25">
      <c r="P1126" s="1"/>
    </row>
    <row r="1127" spans="7:16" x14ac:dyDescent="0.25">
      <c r="P1127" s="1"/>
    </row>
    <row r="1128" spans="7:16" x14ac:dyDescent="0.25">
      <c r="P1128" s="1"/>
    </row>
    <row r="1129" spans="7:16" x14ac:dyDescent="0.25">
      <c r="P1129" s="1"/>
    </row>
  </sheetData>
  <autoFilter ref="A1:AK1115" xr:uid="{4293B082-C322-4A78-B56F-A3AAFBFAC7A5}">
    <filterColumn colId="10">
      <filters>
        <filter val="Drought_AQP_Genotype"/>
      </filters>
    </filterColumn>
    <sortState xmlns:xlrd2="http://schemas.microsoft.com/office/spreadsheetml/2017/richdata2" ref="A2:AK1115">
      <sortCondition sortBy="cellColor" ref="AH1:AH1115" dxfId="0"/>
    </sortState>
  </autoFilter>
  <phoneticPr fontId="4"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Baca</dc:creator>
  <cp:lastModifiedBy>Juan Baca</cp:lastModifiedBy>
  <dcterms:created xsi:type="dcterms:W3CDTF">2022-09-20T13:59:18Z</dcterms:created>
  <dcterms:modified xsi:type="dcterms:W3CDTF">2023-11-22T09:36:27Z</dcterms:modified>
</cp:coreProperties>
</file>