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baca\sciebo\literature review\root_hydraulic_properties\database\"/>
    </mc:Choice>
  </mc:AlternateContent>
  <xr:revisionPtr revIDLastSave="0" documentId="13_ncr:1_{26819F4B-C648-46DF-9DBA-E0EBA8B49E40}" xr6:coauthVersionLast="47" xr6:coauthVersionMax="47" xr10:uidLastSave="{00000000-0000-0000-0000-000000000000}"/>
  <bookViews>
    <workbookView xWindow="28680" yWindow="-120" windowWidth="29040" windowHeight="15840" xr2:uid="{DEE2E340-745D-4F66-A0BD-3ECCCD70ADA3}"/>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s>
  <definedNames>
    <definedName name="_xlnm._FilterDatabase" localSheetId="0" hidden="1">Sheet1!$A$1:$AB$498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8" i="1" l="1"/>
  <c r="Z38" i="1"/>
  <c r="W38" i="1"/>
  <c r="V37" i="1"/>
  <c r="Y37" i="1"/>
  <c r="X37" i="1" s="1"/>
  <c r="J37" i="1"/>
  <c r="Z37" i="1"/>
  <c r="J36" i="1"/>
  <c r="J35" i="1"/>
  <c r="J34" i="1"/>
  <c r="J33" i="1"/>
  <c r="J32" i="1"/>
  <c r="J31" i="1"/>
  <c r="J30" i="1"/>
  <c r="J29" i="1"/>
  <c r="J28" i="1"/>
  <c r="J27" i="1"/>
  <c r="Z36" i="1"/>
  <c r="Z35" i="1"/>
  <c r="Z34" i="1"/>
  <c r="Z33" i="1"/>
  <c r="Z32" i="1"/>
  <c r="Z26" i="1"/>
  <c r="Z31" i="1"/>
  <c r="Z30" i="1"/>
  <c r="W36" i="1"/>
  <c r="W35" i="1"/>
  <c r="W34" i="1"/>
  <c r="W33" i="1"/>
  <c r="W32" i="1"/>
  <c r="W31" i="1"/>
  <c r="W30" i="1"/>
  <c r="Z29" i="1"/>
  <c r="Z28" i="1"/>
  <c r="Z27" i="1"/>
  <c r="Y26" i="1"/>
  <c r="X26" i="1" s="1"/>
  <c r="Y27" i="1"/>
  <c r="Y28" i="1"/>
  <c r="X28" i="1" s="1"/>
  <c r="Y29" i="1"/>
  <c r="X29" i="1" s="1"/>
  <c r="V26" i="1"/>
  <c r="V27" i="1"/>
  <c r="V28" i="1"/>
  <c r="V29" i="1"/>
  <c r="J26" i="1"/>
  <c r="W29" i="1" l="1"/>
  <c r="X27" i="1"/>
  <c r="W27" i="1" s="1"/>
  <c r="W37" i="1"/>
  <c r="W28" i="1"/>
  <c r="W26" i="1"/>
  <c r="W386" i="1" l="1"/>
  <c r="W385" i="1"/>
  <c r="W384" i="1"/>
  <c r="W380" i="1"/>
  <c r="W379" i="1"/>
  <c r="W378" i="1"/>
  <c r="W383" i="1"/>
  <c r="W382" i="1"/>
  <c r="W381" i="1"/>
  <c r="W377" i="1"/>
  <c r="W376" i="1"/>
  <c r="W375" i="1"/>
  <c r="W370" i="1"/>
  <c r="J374" i="1"/>
  <c r="J373" i="1"/>
  <c r="J372" i="1"/>
  <c r="J371" i="1"/>
  <c r="J370" i="1"/>
  <c r="J348" i="1"/>
  <c r="J347" i="1"/>
  <c r="J346" i="1"/>
  <c r="J345" i="1"/>
  <c r="J344" i="1"/>
  <c r="J343" i="1"/>
  <c r="J342" i="1"/>
  <c r="J341" i="1"/>
  <c r="J340" i="1"/>
  <c r="J339" i="1"/>
  <c r="J338" i="1"/>
  <c r="J337" i="1"/>
  <c r="J336" i="1"/>
  <c r="J335" i="1"/>
  <c r="J330" i="1"/>
  <c r="J329" i="1"/>
  <c r="J328" i="1"/>
  <c r="J327" i="1"/>
  <c r="J326" i="1"/>
  <c r="J325" i="1"/>
  <c r="J324" i="1"/>
  <c r="J323" i="1"/>
  <c r="J322" i="1"/>
  <c r="J321" i="1"/>
  <c r="J320" i="1"/>
  <c r="J319" i="1"/>
  <c r="J318" i="1"/>
  <c r="J317" i="1"/>
  <c r="W480" i="1"/>
  <c r="W479" i="1"/>
  <c r="W478" i="1"/>
  <c r="W477" i="1"/>
  <c r="W476" i="1"/>
  <c r="W475" i="1"/>
  <c r="W472" i="1"/>
  <c r="W471" i="1"/>
  <c r="W470" i="1"/>
  <c r="W469" i="1"/>
  <c r="W468" i="1"/>
  <c r="W467" i="1"/>
  <c r="W430" i="1"/>
  <c r="W429" i="1"/>
  <c r="W428" i="1"/>
  <c r="W427" i="1"/>
  <c r="W426" i="1"/>
  <c r="W425" i="1"/>
  <c r="W424" i="1"/>
  <c r="W423" i="1"/>
  <c r="W422" i="1"/>
  <c r="W421" i="1"/>
  <c r="W420" i="1"/>
  <c r="W419" i="1"/>
  <c r="W418" i="1"/>
  <c r="W417" i="1"/>
  <c r="W416" i="1"/>
  <c r="W415" i="1"/>
  <c r="W414" i="1"/>
  <c r="W413" i="1"/>
  <c r="W412" i="1"/>
  <c r="W411" i="1"/>
  <c r="W410" i="1"/>
  <c r="W374" i="1"/>
  <c r="W373" i="1"/>
  <c r="W372" i="1"/>
  <c r="W371" i="1"/>
  <c r="W351" i="1"/>
  <c r="W350" i="1"/>
  <c r="W349" i="1"/>
  <c r="W348" i="1"/>
  <c r="W347" i="1"/>
  <c r="W346" i="1"/>
  <c r="W345" i="1"/>
  <c r="W344" i="1"/>
  <c r="W343" i="1"/>
  <c r="W342" i="1"/>
  <c r="W341" i="1"/>
  <c r="W340" i="1"/>
  <c r="W339" i="1"/>
  <c r="W338" i="1"/>
  <c r="W337" i="1"/>
  <c r="W336" i="1"/>
  <c r="W335" i="1"/>
  <c r="W330" i="1"/>
  <c r="W329" i="1"/>
  <c r="W328" i="1"/>
  <c r="W327" i="1"/>
  <c r="W326" i="1"/>
  <c r="W325" i="1"/>
  <c r="W324" i="1"/>
  <c r="W323" i="1"/>
  <c r="W322" i="1"/>
  <c r="W321" i="1"/>
  <c r="W320" i="1"/>
  <c r="W319" i="1"/>
  <c r="W318" i="1"/>
  <c r="W317" i="1"/>
  <c r="W298" i="1"/>
  <c r="W297" i="1"/>
  <c r="W296" i="1"/>
  <c r="W295" i="1"/>
  <c r="W294" i="1"/>
  <c r="W293" i="1"/>
  <c r="W292" i="1"/>
  <c r="W291" i="1"/>
  <c r="W290" i="1"/>
  <c r="W289" i="1"/>
  <c r="W288" i="1"/>
  <c r="W287" i="1"/>
  <c r="W286" i="1"/>
  <c r="W285" i="1"/>
  <c r="W274" i="1"/>
  <c r="W273" i="1"/>
  <c r="W272" i="1"/>
  <c r="W261" i="1"/>
  <c r="W260" i="1"/>
  <c r="W259" i="1"/>
  <c r="W258" i="1"/>
  <c r="W257" i="1"/>
  <c r="W256" i="1"/>
  <c r="W255" i="1"/>
  <c r="W254" i="1"/>
  <c r="W253" i="1"/>
  <c r="W252" i="1"/>
  <c r="W239" i="1"/>
  <c r="W238" i="1"/>
  <c r="W237" i="1"/>
  <c r="W236" i="1"/>
  <c r="W235" i="1"/>
  <c r="W234" i="1"/>
  <c r="W233" i="1"/>
  <c r="W232" i="1"/>
  <c r="W231" i="1"/>
  <c r="W230" i="1"/>
  <c r="W229" i="1"/>
  <c r="W228" i="1"/>
  <c r="W211" i="1"/>
  <c r="W210" i="1"/>
  <c r="W209" i="1"/>
  <c r="W208" i="1"/>
  <c r="W207" i="1"/>
  <c r="W206" i="1"/>
  <c r="W205" i="1"/>
  <c r="W204" i="1"/>
  <c r="W203" i="1"/>
  <c r="W202" i="1"/>
  <c r="W201" i="1"/>
  <c r="W200" i="1"/>
  <c r="W199" i="1"/>
  <c r="W198" i="1"/>
  <c r="W197" i="1"/>
  <c r="W196" i="1"/>
  <c r="W195" i="1"/>
  <c r="W194"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83" i="1"/>
  <c r="W82" i="1"/>
  <c r="W81" i="1"/>
  <c r="W80" i="1"/>
  <c r="W79" i="1"/>
  <c r="W78" i="1"/>
  <c r="W77" i="1"/>
  <c r="W76" i="1"/>
  <c r="W70" i="1"/>
  <c r="W69" i="1"/>
  <c r="W68" i="1"/>
  <c r="W67" i="1"/>
  <c r="W66" i="1"/>
  <c r="W65" i="1"/>
  <c r="W64" i="1"/>
  <c r="W63" i="1"/>
  <c r="W62" i="1"/>
  <c r="Z61" i="1"/>
  <c r="W61" i="1"/>
  <c r="Z60" i="1"/>
  <c r="W60" i="1"/>
  <c r="Z59" i="1"/>
  <c r="W59" i="1"/>
  <c r="Z58" i="1"/>
  <c r="W58" i="1"/>
  <c r="Z57" i="1"/>
  <c r="W57" i="1"/>
  <c r="Z56" i="1"/>
  <c r="W56" i="1"/>
  <c r="W48" i="1"/>
  <c r="W55" i="1" s="1"/>
  <c r="W47" i="1"/>
  <c r="W54" i="1" s="1"/>
  <c r="W46" i="1"/>
  <c r="W53" i="1" s="1"/>
  <c r="W45" i="1"/>
  <c r="W52" i="1" s="1"/>
  <c r="W44" i="1"/>
  <c r="W51" i="1" s="1"/>
  <c r="W43" i="1"/>
  <c r="W50" i="1" s="1"/>
  <c r="W42" i="1"/>
  <c r="W49" i="1" s="1"/>
  <c r="W25" i="1"/>
  <c r="W24" i="1"/>
  <c r="W23" i="1"/>
  <c r="W22" i="1"/>
  <c r="W21" i="1"/>
  <c r="W20" i="1"/>
  <c r="Y19" i="1"/>
  <c r="Y18" i="1"/>
  <c r="Y17" i="1"/>
  <c r="Y16" i="1"/>
  <c r="Y15" i="1"/>
  <c r="Y14" i="1"/>
  <c r="Y13" i="1"/>
  <c r="Y12" i="1"/>
  <c r="W11" i="1"/>
  <c r="W10" i="1"/>
  <c r="W9" i="1"/>
  <c r="W8" i="1"/>
  <c r="W7" i="1"/>
  <c r="W6" i="1"/>
  <c r="W3" i="1"/>
  <c r="W2" i="1"/>
  <c r="J2"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284" i="1"/>
  <c r="O283" i="1"/>
  <c r="O282" i="1"/>
  <c r="O281" i="1"/>
  <c r="O280" i="1"/>
  <c r="O279" i="1"/>
  <c r="O278" i="1"/>
  <c r="O277" i="1"/>
  <c r="O276" i="1"/>
  <c r="O275" i="1"/>
  <c r="O255" i="1"/>
  <c r="O254" i="1"/>
  <c r="O253" i="1"/>
  <c r="O252" i="1"/>
  <c r="O235" i="1"/>
  <c r="O234" i="1"/>
  <c r="O233" i="1"/>
  <c r="O232" i="1"/>
  <c r="O231" i="1"/>
  <c r="O230" i="1"/>
  <c r="O229" i="1"/>
  <c r="O228" i="1"/>
  <c r="O211" i="1"/>
  <c r="O210" i="1"/>
  <c r="O209" i="1"/>
  <c r="O208" i="1"/>
  <c r="O207" i="1"/>
  <c r="O206" i="1"/>
  <c r="O205" i="1"/>
  <c r="O204" i="1"/>
  <c r="O203" i="1"/>
  <c r="O202" i="1"/>
  <c r="O201" i="1"/>
  <c r="O200" i="1"/>
  <c r="O199" i="1"/>
  <c r="O198" i="1"/>
  <c r="O197" i="1"/>
  <c r="O196" i="1"/>
  <c r="O195" i="1"/>
  <c r="O194" i="1"/>
  <c r="O178" i="1"/>
  <c r="O177" i="1"/>
  <c r="O176" i="1"/>
  <c r="O175" i="1"/>
  <c r="O174" i="1"/>
  <c r="O173" i="1"/>
  <c r="M474" i="1"/>
  <c r="M473"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15" i="1"/>
  <c r="M414" i="1"/>
  <c r="M413" i="1"/>
  <c r="M412" i="1"/>
  <c r="M411" i="1"/>
  <c r="M410" i="1"/>
  <c r="M409" i="1"/>
  <c r="M408" i="1"/>
  <c r="M407" i="1"/>
  <c r="M406" i="1"/>
  <c r="M405" i="1"/>
  <c r="M404" i="1"/>
  <c r="M403" i="1"/>
  <c r="M402" i="1"/>
  <c r="M388" i="1"/>
  <c r="M387" i="1"/>
  <c r="M386" i="1"/>
  <c r="M385" i="1"/>
  <c r="M384" i="1"/>
  <c r="M383" i="1"/>
  <c r="M382" i="1"/>
  <c r="M381" i="1"/>
  <c r="M380" i="1"/>
  <c r="M379" i="1"/>
  <c r="M378" i="1"/>
  <c r="M377" i="1"/>
  <c r="M376" i="1"/>
  <c r="M375" i="1"/>
  <c r="M369" i="1"/>
  <c r="M368" i="1"/>
  <c r="M367" i="1"/>
  <c r="M366" i="1"/>
  <c r="M365" i="1"/>
  <c r="M364" i="1"/>
  <c r="M363" i="1"/>
  <c r="M362" i="1"/>
  <c r="M361" i="1"/>
  <c r="M360" i="1"/>
  <c r="M359" i="1"/>
  <c r="M358" i="1"/>
  <c r="M357" i="1"/>
  <c r="M356" i="1"/>
  <c r="M355" i="1"/>
  <c r="M354" i="1"/>
  <c r="M353" i="1"/>
  <c r="M352" i="1"/>
  <c r="M312" i="1"/>
  <c r="M311" i="1"/>
  <c r="M310" i="1"/>
  <c r="M309" i="1"/>
  <c r="M308" i="1"/>
  <c r="M307" i="1"/>
  <c r="M306" i="1"/>
  <c r="M305" i="1"/>
  <c r="M304" i="1"/>
  <c r="M303" i="1"/>
  <c r="M302" i="1"/>
  <c r="M301" i="1"/>
  <c r="M300" i="1"/>
  <c r="M299"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39" i="1"/>
  <c r="M238" i="1"/>
  <c r="M237" i="1"/>
  <c r="M236" i="1"/>
  <c r="M235" i="1"/>
  <c r="M234" i="1"/>
  <c r="M233" i="1"/>
  <c r="M232" i="1"/>
  <c r="M231" i="1"/>
  <c r="M230" i="1"/>
  <c r="M229" i="1"/>
  <c r="M228" i="1"/>
  <c r="M219" i="1"/>
  <c r="M218" i="1"/>
  <c r="M217" i="1"/>
  <c r="M216" i="1"/>
  <c r="M211" i="1"/>
  <c r="M210" i="1"/>
  <c r="M209" i="1"/>
  <c r="M208" i="1"/>
  <c r="M207" i="1"/>
  <c r="M206" i="1"/>
  <c r="M205" i="1"/>
  <c r="M204" i="1"/>
  <c r="M203" i="1"/>
  <c r="M202" i="1"/>
  <c r="M201" i="1"/>
  <c r="M200" i="1"/>
  <c r="M199" i="1"/>
  <c r="M198" i="1"/>
  <c r="M197" i="1"/>
  <c r="M196" i="1"/>
  <c r="M195" i="1"/>
  <c r="M194" i="1"/>
  <c r="M186" i="1"/>
  <c r="M185" i="1"/>
  <c r="M184" i="1"/>
  <c r="M183" i="1"/>
  <c r="M182" i="1"/>
  <c r="M181" i="1"/>
  <c r="M180" i="1"/>
  <c r="M179" i="1"/>
  <c r="M178" i="1"/>
  <c r="M177" i="1"/>
  <c r="M176" i="1"/>
  <c r="M175" i="1"/>
  <c r="M174" i="1"/>
  <c r="M173" i="1"/>
  <c r="M160" i="1"/>
  <c r="M159" i="1"/>
  <c r="M158" i="1"/>
  <c r="M157" i="1"/>
  <c r="M156" i="1"/>
  <c r="M155" i="1"/>
  <c r="M154" i="1"/>
  <c r="M153" i="1"/>
  <c r="M152" i="1"/>
  <c r="M151" i="1"/>
  <c r="M150" i="1"/>
  <c r="M149" i="1"/>
  <c r="M148" i="1"/>
  <c r="M112" i="1"/>
  <c r="M111" i="1"/>
  <c r="M110" i="1"/>
  <c r="M109" i="1"/>
  <c r="M108" i="1"/>
  <c r="M107" i="1"/>
  <c r="M106" i="1"/>
  <c r="M105" i="1"/>
  <c r="M104" i="1"/>
  <c r="M103" i="1"/>
  <c r="M87" i="1"/>
  <c r="M86" i="1"/>
  <c r="M85" i="1"/>
  <c r="M84" i="1"/>
  <c r="M83" i="1"/>
  <c r="M82" i="1"/>
  <c r="M81" i="1"/>
  <c r="M80" i="1"/>
  <c r="M79" i="1"/>
  <c r="M78" i="1"/>
  <c r="M77" i="1"/>
  <c r="M76" i="1"/>
  <c r="M75" i="1"/>
  <c r="M74" i="1"/>
  <c r="M73" i="1"/>
  <c r="M72" i="1"/>
  <c r="M71" i="1"/>
  <c r="M70" i="1"/>
  <c r="M69" i="1"/>
  <c r="M61" i="1"/>
  <c r="M60" i="1"/>
  <c r="M59" i="1"/>
  <c r="M58" i="1"/>
  <c r="M57" i="1"/>
  <c r="M56" i="1"/>
  <c r="M55" i="1"/>
  <c r="M54" i="1"/>
  <c r="M53" i="1"/>
  <c r="M52" i="1"/>
  <c r="M51" i="1"/>
  <c r="M50" i="1"/>
  <c r="M49" i="1"/>
  <c r="M48" i="1"/>
  <c r="M47" i="1"/>
  <c r="M46" i="1"/>
  <c r="M45" i="1"/>
  <c r="M44" i="1"/>
  <c r="M43" i="1"/>
  <c r="M42" i="1"/>
  <c r="M25" i="1"/>
  <c r="M24" i="1"/>
  <c r="M23" i="1"/>
  <c r="M22" i="1"/>
  <c r="M21" i="1"/>
  <c r="M20" i="1"/>
  <c r="M19" i="1"/>
  <c r="M18" i="1"/>
  <c r="M17" i="1"/>
  <c r="M16" i="1"/>
  <c r="M15" i="1"/>
  <c r="M14" i="1"/>
  <c r="M13" i="1"/>
  <c r="M12" i="1"/>
  <c r="M11" i="1"/>
  <c r="M10" i="1"/>
  <c r="M9" i="1"/>
  <c r="M8" i="1"/>
  <c r="M7" i="1"/>
  <c r="M6" i="1"/>
  <c r="J349" i="1" l="1"/>
  <c r="J350" i="1"/>
  <c r="J351" i="1"/>
  <c r="J480" i="1"/>
  <c r="J479" i="1"/>
  <c r="J478" i="1"/>
  <c r="J477" i="1"/>
  <c r="J476" i="1"/>
  <c r="J475" i="1"/>
  <c r="W465" i="1"/>
  <c r="W462" i="1"/>
  <c r="J460" i="1"/>
  <c r="J459" i="1"/>
  <c r="W400" i="1" l="1"/>
  <c r="W399" i="1"/>
  <c r="W398" i="1"/>
  <c r="W397" i="1"/>
  <c r="W396" i="1"/>
  <c r="W395" i="1"/>
  <c r="Y219" i="1" l="1"/>
  <c r="Y218" i="1"/>
  <c r="Y217" i="1"/>
  <c r="Y216" i="1"/>
  <c r="J219" i="1"/>
  <c r="J218" i="1"/>
  <c r="J217" i="1"/>
  <c r="J216" i="1"/>
  <c r="J273" i="1" l="1"/>
  <c r="J272" i="1"/>
  <c r="J415" i="1"/>
  <c r="J414" i="1"/>
  <c r="J413" i="1"/>
  <c r="J412" i="1"/>
  <c r="J411" i="1"/>
  <c r="J410" i="1"/>
  <c r="J409" i="1"/>
  <c r="J408" i="1"/>
  <c r="J407" i="1"/>
  <c r="J406" i="1"/>
  <c r="J404" i="1"/>
  <c r="J405" i="1"/>
  <c r="J402" i="1"/>
  <c r="J403" i="1"/>
  <c r="J20" i="1" l="1"/>
  <c r="J5" i="1"/>
  <c r="J4" i="1"/>
  <c r="J458" i="1"/>
  <c r="J457" i="1"/>
  <c r="J456" i="1"/>
  <c r="J455" i="1"/>
  <c r="Y186" i="1"/>
  <c r="Y185" i="1"/>
  <c r="Y184" i="1"/>
  <c r="Y183" i="1"/>
  <c r="Y182" i="1"/>
  <c r="Y181" i="1"/>
  <c r="Y180" i="1"/>
  <c r="J186" i="1"/>
  <c r="J185" i="1"/>
  <c r="J184" i="1"/>
  <c r="J183" i="1"/>
  <c r="J182" i="1"/>
  <c r="J181" i="1"/>
  <c r="J180" i="1"/>
  <c r="J179" i="1"/>
  <c r="Y179" i="1"/>
  <c r="Y271" i="1"/>
  <c r="Y270" i="1"/>
  <c r="Y269" i="1"/>
  <c r="Y268" i="1"/>
  <c r="Y267" i="1"/>
  <c r="Y266" i="1"/>
  <c r="Y265" i="1"/>
  <c r="Y264" i="1"/>
  <c r="Y263" i="1"/>
  <c r="Y262" i="1"/>
  <c r="Y206" i="1"/>
  <c r="Y207" i="1"/>
  <c r="Y208" i="1"/>
  <c r="Y209" i="1"/>
  <c r="Y210" i="1"/>
  <c r="Y211" i="1"/>
  <c r="J102" i="1" l="1"/>
  <c r="J101" i="1"/>
  <c r="J100" i="1"/>
  <c r="J99" i="1"/>
  <c r="J98" i="1"/>
  <c r="J97" i="1"/>
  <c r="J96" i="1"/>
  <c r="J95" i="1"/>
  <c r="J94" i="1"/>
  <c r="J93" i="1"/>
  <c r="J498" i="1"/>
  <c r="J497" i="1"/>
  <c r="J496" i="1"/>
  <c r="J495" i="1"/>
  <c r="J494" i="1"/>
  <c r="J493" i="1"/>
  <c r="J492" i="1"/>
  <c r="J491" i="1"/>
  <c r="J490" i="1"/>
  <c r="J489" i="1"/>
  <c r="J488" i="1"/>
  <c r="X487" i="1"/>
  <c r="Z498" i="1"/>
  <c r="Z497" i="1"/>
  <c r="Z496" i="1"/>
  <c r="Z495" i="1"/>
  <c r="Z494" i="1"/>
  <c r="Z493" i="1"/>
  <c r="Z492" i="1"/>
  <c r="Z491" i="1"/>
  <c r="Z490" i="1"/>
  <c r="Z489" i="1"/>
  <c r="Z488" i="1"/>
  <c r="X488" i="1"/>
  <c r="X489" i="1"/>
  <c r="X490" i="1"/>
  <c r="X491" i="1"/>
  <c r="X492" i="1"/>
  <c r="X493" i="1"/>
  <c r="X494" i="1"/>
  <c r="X495" i="1"/>
  <c r="X496" i="1"/>
  <c r="X497" i="1"/>
  <c r="X498" i="1"/>
  <c r="Z487" i="1"/>
  <c r="J487" i="1"/>
  <c r="J334" i="1"/>
  <c r="J333" i="1"/>
  <c r="J332" i="1"/>
  <c r="J331" i="1"/>
  <c r="J316" i="1"/>
  <c r="J315" i="1"/>
  <c r="J314" i="1"/>
  <c r="J313" i="1"/>
  <c r="Z486" i="1"/>
  <c r="Z485" i="1"/>
  <c r="Z484" i="1"/>
  <c r="Z483" i="1"/>
  <c r="Z482" i="1"/>
  <c r="Z481" i="1"/>
  <c r="J482" i="1"/>
  <c r="J481" i="1"/>
  <c r="J472" i="1" l="1"/>
  <c r="J471" i="1"/>
  <c r="J470" i="1"/>
  <c r="J469" i="1"/>
  <c r="J468" i="1"/>
  <c r="J467" i="1"/>
  <c r="J454" i="1" l="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Y414" i="1"/>
  <c r="Y413" i="1"/>
  <c r="Y411" i="1"/>
  <c r="Y410" i="1"/>
  <c r="Y409" i="1"/>
  <c r="Y408" i="1"/>
  <c r="Y406" i="1"/>
  <c r="Y405" i="1"/>
  <c r="Y403" i="1"/>
  <c r="Y402" i="1"/>
  <c r="Z401" i="1" l="1"/>
  <c r="Y401" i="1"/>
  <c r="J401" i="1"/>
  <c r="Z394" i="1"/>
  <c r="Z393" i="1"/>
  <c r="Z392" i="1"/>
  <c r="Z391" i="1"/>
  <c r="Z390" i="1"/>
  <c r="Z389" i="1"/>
  <c r="Y394" i="1"/>
  <c r="Y393" i="1"/>
  <c r="Y392" i="1"/>
  <c r="Y391" i="1"/>
  <c r="Y390" i="1"/>
  <c r="Y389" i="1"/>
  <c r="Z369" i="1"/>
  <c r="Z368" i="1"/>
  <c r="Z367" i="1"/>
  <c r="Z366" i="1"/>
  <c r="Z365" i="1"/>
  <c r="Z364" i="1"/>
  <c r="Z363" i="1"/>
  <c r="Z362" i="1"/>
  <c r="Z361" i="1"/>
  <c r="Z360" i="1"/>
  <c r="Z359" i="1"/>
  <c r="Z358" i="1"/>
  <c r="Z357" i="1"/>
  <c r="Z356" i="1"/>
  <c r="Z355" i="1"/>
  <c r="Z354" i="1"/>
  <c r="Z353" i="1"/>
  <c r="J369" i="1"/>
  <c r="J368" i="1"/>
  <c r="J367" i="1"/>
  <c r="J366" i="1"/>
  <c r="J365" i="1"/>
  <c r="J364" i="1"/>
  <c r="J363" i="1"/>
  <c r="J362" i="1"/>
  <c r="J361" i="1"/>
  <c r="J360" i="1"/>
  <c r="J359" i="1"/>
  <c r="J358" i="1"/>
  <c r="J357" i="1"/>
  <c r="J356" i="1"/>
  <c r="J355" i="1"/>
  <c r="J354" i="1"/>
  <c r="J353" i="1"/>
  <c r="Z352" i="1"/>
  <c r="J352" i="1"/>
  <c r="J312" i="1" l="1"/>
  <c r="J311" i="1"/>
  <c r="Z312" i="1"/>
  <c r="Y312" i="1"/>
  <c r="Z311" i="1"/>
  <c r="Y311" i="1"/>
  <c r="J310" i="1"/>
  <c r="J309" i="1"/>
  <c r="J308" i="1"/>
  <c r="J307" i="1"/>
  <c r="J306" i="1"/>
  <c r="J305" i="1"/>
  <c r="J304" i="1"/>
  <c r="J303" i="1"/>
  <c r="J302" i="1"/>
  <c r="J301" i="1"/>
  <c r="J300" i="1"/>
  <c r="Z310" i="1"/>
  <c r="Y310" i="1"/>
  <c r="Z309" i="1"/>
  <c r="Y309" i="1"/>
  <c r="Z308" i="1"/>
  <c r="Y308" i="1"/>
  <c r="Z307" i="1"/>
  <c r="Y307" i="1"/>
  <c r="Z306" i="1"/>
  <c r="Y306" i="1"/>
  <c r="Z305" i="1"/>
  <c r="Y305" i="1"/>
  <c r="Z304" i="1"/>
  <c r="Y304" i="1"/>
  <c r="Z303" i="1"/>
  <c r="Y303" i="1"/>
  <c r="Z302" i="1"/>
  <c r="Y302" i="1"/>
  <c r="Z301" i="1"/>
  <c r="Y301" i="1"/>
  <c r="Z300" i="1"/>
  <c r="Y300" i="1"/>
  <c r="Z299" i="1"/>
  <c r="Y299" i="1"/>
  <c r="J299" i="1"/>
  <c r="J298" i="1"/>
  <c r="J297" i="1"/>
  <c r="J296" i="1"/>
  <c r="J295" i="1"/>
  <c r="J294" i="1"/>
  <c r="J293" i="1"/>
  <c r="J284" i="1" l="1"/>
  <c r="J283" i="1"/>
  <c r="J282" i="1"/>
  <c r="J281" i="1"/>
  <c r="J280" i="1"/>
  <c r="J279" i="1"/>
  <c r="J278" i="1"/>
  <c r="J277" i="1"/>
  <c r="J276" i="1"/>
  <c r="J275" i="1"/>
  <c r="J274" i="1"/>
  <c r="J271" i="1"/>
  <c r="J270" i="1"/>
  <c r="J269" i="1"/>
  <c r="J268" i="1"/>
  <c r="J267" i="1"/>
  <c r="J266" i="1"/>
  <c r="J265" i="1"/>
  <c r="J264" i="1"/>
  <c r="J263" i="1"/>
  <c r="W271" i="1"/>
  <c r="W270" i="1"/>
  <c r="J262" i="1"/>
  <c r="J261" i="1"/>
  <c r="J260" i="1"/>
  <c r="J259" i="1"/>
  <c r="J258" i="1"/>
  <c r="J257" i="1"/>
  <c r="J256" i="1"/>
  <c r="J255" i="1"/>
  <c r="J254" i="1"/>
  <c r="J253" i="1"/>
  <c r="J252" i="1"/>
  <c r="J239" i="1"/>
  <c r="J238" i="1"/>
  <c r="J237" i="1"/>
  <c r="J236" i="1"/>
  <c r="J235" i="1"/>
  <c r="J234" i="1"/>
  <c r="J233" i="1"/>
  <c r="J232" i="1"/>
  <c r="J231" i="1"/>
  <c r="J230" i="1"/>
  <c r="J229" i="1"/>
  <c r="J228" i="1"/>
  <c r="Y236" i="1"/>
  <c r="Y237" i="1"/>
  <c r="Y238" i="1"/>
  <c r="Y235" i="1"/>
  <c r="Y234" i="1"/>
  <c r="Y233" i="1"/>
  <c r="Y232" i="1"/>
  <c r="Y231" i="1"/>
  <c r="Y230" i="1"/>
  <c r="Y229" i="1"/>
  <c r="Y228" i="1"/>
  <c r="Y227" i="1" l="1"/>
  <c r="Y226" i="1"/>
  <c r="Y225" i="1"/>
  <c r="Y224" i="1"/>
  <c r="Y223" i="1"/>
  <c r="Y222" i="1"/>
  <c r="Y221" i="1"/>
  <c r="Y220" i="1"/>
  <c r="Z227" i="1"/>
  <c r="Z226" i="1"/>
  <c r="Z225" i="1"/>
  <c r="Z224" i="1"/>
  <c r="Z223" i="1"/>
  <c r="Z222" i="1"/>
  <c r="Z221" i="1"/>
  <c r="Z220" i="1"/>
  <c r="J227" i="1"/>
  <c r="J226" i="1"/>
  <c r="J225" i="1"/>
  <c r="J224" i="1"/>
  <c r="J223" i="1"/>
  <c r="J222" i="1"/>
  <c r="J221" i="1"/>
  <c r="J220" i="1"/>
  <c r="J215" i="1"/>
  <c r="J214" i="1"/>
  <c r="J213" i="1"/>
  <c r="Y215" i="1"/>
  <c r="Y214" i="1"/>
  <c r="Y213" i="1"/>
  <c r="Z215" i="1"/>
  <c r="Z214" i="1"/>
  <c r="Z212" i="1"/>
  <c r="Z213" i="1"/>
  <c r="Y212" i="1"/>
  <c r="J212" i="1"/>
  <c r="Y205" i="1"/>
  <c r="Y204" i="1"/>
  <c r="Y203" i="1"/>
  <c r="Y202" i="1"/>
  <c r="Y201" i="1"/>
  <c r="Y200" i="1"/>
  <c r="Y199" i="1"/>
  <c r="Y198" i="1"/>
  <c r="Y197" i="1"/>
  <c r="Y196" i="1"/>
  <c r="Y195" i="1"/>
  <c r="Y194" i="1"/>
  <c r="J187" i="1"/>
  <c r="J172" i="1" l="1"/>
  <c r="J171" i="1"/>
  <c r="J170" i="1"/>
  <c r="J169" i="1"/>
  <c r="J168" i="1"/>
  <c r="J167" i="1"/>
  <c r="J166" i="1"/>
  <c r="J165" i="1"/>
  <c r="J164" i="1"/>
  <c r="J163" i="1"/>
  <c r="J162" i="1"/>
  <c r="J161" i="1"/>
  <c r="J156" i="1"/>
  <c r="J160" i="1" s="1"/>
  <c r="J155" i="1"/>
  <c r="J159" i="1" s="1"/>
  <c r="J154" i="1"/>
  <c r="J158" i="1" s="1"/>
  <c r="J153" i="1"/>
  <c r="J157" i="1" s="1"/>
  <c r="J152" i="1"/>
  <c r="J151" i="1"/>
  <c r="J150" i="1"/>
  <c r="J149" i="1"/>
  <c r="J148" i="1"/>
  <c r="J144" i="1"/>
  <c r="J143" i="1"/>
  <c r="J92" i="1" l="1"/>
  <c r="J91" i="1"/>
  <c r="J90" i="1"/>
  <c r="J89" i="1"/>
  <c r="J88" i="1" l="1"/>
  <c r="Y87" i="1" l="1"/>
  <c r="Y86" i="1"/>
  <c r="Y85" i="1"/>
  <c r="W87" i="1"/>
  <c r="W86" i="1"/>
  <c r="J87" i="1"/>
  <c r="J86" i="1"/>
  <c r="J85" i="1"/>
  <c r="Y84" i="1"/>
  <c r="J84" i="1"/>
  <c r="J74" i="1" l="1"/>
  <c r="J73" i="1"/>
  <c r="J72" i="1"/>
  <c r="J71" i="1"/>
  <c r="J70" i="1"/>
  <c r="J69" i="1"/>
  <c r="W71" i="1"/>
  <c r="W72" i="1"/>
  <c r="J68" i="1"/>
  <c r="J67" i="1"/>
  <c r="J66" i="1"/>
  <c r="J65" i="1"/>
  <c r="J64" i="1"/>
  <c r="J63" i="1"/>
  <c r="J62" i="1"/>
  <c r="J59" i="1" l="1"/>
  <c r="J60" i="1"/>
  <c r="J61" i="1"/>
  <c r="J58" i="1"/>
  <c r="J57" i="1"/>
  <c r="J56" i="1"/>
  <c r="J41" i="1" l="1"/>
  <c r="J40" i="1"/>
  <c r="J39" i="1"/>
  <c r="Y40" i="1"/>
  <c r="Y39" i="1"/>
  <c r="J25" i="1"/>
  <c r="J24" i="1"/>
  <c r="J23" i="1"/>
  <c r="J22" i="1"/>
  <c r="J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Juan Baca</author>
    <author>Juan</author>
  </authors>
  <commentList>
    <comment ref="S1" authorId="0" shapeId="0" xr:uid="{F29E48AF-ADD3-444B-A558-E8DC69375102}">
      <text>
        <r>
          <rPr>
            <b/>
            <sz val="9"/>
            <color indexed="81"/>
            <rFont val="Tahoma"/>
            <family val="2"/>
          </rPr>
          <t>Juan Baca:</t>
        </r>
        <r>
          <rPr>
            <sz val="9"/>
            <color indexed="81"/>
            <rFont val="Tahoma"/>
            <family val="2"/>
          </rPr>
          <t xml:space="preserve">
entire root system, individual roots, specifi rot tipes (e.g. tap root vs lateral)...</t>
        </r>
      </text>
    </comment>
    <comment ref="T1" authorId="0" shapeId="0" xr:uid="{36FA090F-09B2-4092-B408-3CF17C43898A}">
      <text>
        <r>
          <rPr>
            <b/>
            <sz val="9"/>
            <color indexed="81"/>
            <rFont val="Tahoma"/>
            <family val="2"/>
          </rPr>
          <t>Juan Baca:</t>
        </r>
        <r>
          <rPr>
            <sz val="9"/>
            <color indexed="81"/>
            <rFont val="Tahoma"/>
            <family val="2"/>
          </rPr>
          <t xml:space="preserve">
for thwe case where longitudinal variation alongside individual roots was measured</t>
        </r>
      </text>
    </comment>
    <comment ref="W1" authorId="0" shapeId="0" xr:uid="{83024454-E4B1-494B-926E-39F404A9766E}">
      <text>
        <r>
          <rPr>
            <b/>
            <sz val="9"/>
            <color indexed="81"/>
            <rFont val="Tahoma"/>
            <family val="2"/>
          </rPr>
          <t>Juan Baca:</t>
        </r>
        <r>
          <rPr>
            <sz val="9"/>
            <color indexed="81"/>
            <rFont val="Tahoma"/>
            <family val="2"/>
          </rPr>
          <t xml:space="preserve">
Unit is always m/(Mpa*s) if flow is driven by a difference and m2/(Mpa*s) if driven by a gradient</t>
        </r>
      </text>
    </comment>
    <comment ref="J2" authorId="0" shapeId="0" xr:uid="{648B8B43-3269-4768-9607-93DB35838E1A}">
      <text>
        <r>
          <rPr>
            <b/>
            <sz val="9"/>
            <color indexed="81"/>
            <rFont val="Tahoma"/>
            <charset val="1"/>
          </rPr>
          <t>Juan Baca:</t>
        </r>
        <r>
          <rPr>
            <sz val="9"/>
            <color indexed="81"/>
            <rFont val="Tahoma"/>
            <charset val="1"/>
          </rPr>
          <t xml:space="preserve">
At 7 DAS, seedlings were transferred for an additional 4 d to a fresh medium containing 150 g l–1 of high molecular weight polyethylene glycol. The control plants were transferred for 4 d in a fresh hydroponic solution. (page 1595-1596)</t>
        </r>
      </text>
    </comment>
    <comment ref="K2" authorId="0" shapeId="0" xr:uid="{F8EC236F-3337-4FF4-8B9A-C3B82923E682}">
      <text>
        <r>
          <rPr>
            <b/>
            <sz val="9"/>
            <color indexed="81"/>
            <rFont val="Tahoma"/>
            <charset val="1"/>
          </rPr>
          <t>Juan Baca:</t>
        </r>
        <r>
          <rPr>
            <sz val="9"/>
            <color indexed="81"/>
            <rFont val="Tahoma"/>
            <charset val="1"/>
          </rPr>
          <t xml:space="preserve">
water deficit induced by PEG 8000</t>
        </r>
      </text>
    </comment>
    <comment ref="Z2" authorId="0" shapeId="0" xr:uid="{5301B466-2E27-40C0-BC87-5281B2BECF65}">
      <text>
        <r>
          <rPr>
            <b/>
            <sz val="9"/>
            <color indexed="81"/>
            <rFont val="Tahoma"/>
            <charset val="1"/>
          </rPr>
          <t>Juan Baca:</t>
        </r>
        <r>
          <rPr>
            <sz val="9"/>
            <color indexed="81"/>
            <rFont val="Tahoma"/>
            <charset val="1"/>
          </rPr>
          <t xml:space="preserve">
data from text: page 1596</t>
        </r>
      </text>
    </comment>
    <comment ref="K3" authorId="0" shapeId="0" xr:uid="{070C488C-A96C-4DAF-B347-2FBB1A5EE1C8}">
      <text>
        <r>
          <rPr>
            <b/>
            <sz val="9"/>
            <color indexed="81"/>
            <rFont val="Tahoma"/>
            <charset val="1"/>
          </rPr>
          <t>Juan Baca:</t>
        </r>
        <r>
          <rPr>
            <sz val="9"/>
            <color indexed="81"/>
            <rFont val="Tahoma"/>
            <charset val="1"/>
          </rPr>
          <t xml:space="preserve">
water deficit induced by PEG 8000</t>
        </r>
      </text>
    </comment>
    <comment ref="J4" authorId="0" shapeId="0" xr:uid="{3C29F56C-8C27-4C24-AAA0-173295F66FB0}">
      <text>
        <r>
          <rPr>
            <b/>
            <sz val="9"/>
            <color indexed="81"/>
            <rFont val="Tahoma"/>
            <family val="2"/>
          </rPr>
          <t>Juan Baca:</t>
        </r>
        <r>
          <rPr>
            <sz val="9"/>
            <color indexed="81"/>
            <rFont val="Tahoma"/>
            <family val="2"/>
          </rPr>
          <t xml:space="preserve">
 All full-scale
hydroponic experiments, including the untreated controls as the main objective of this study, were harvested
after 5 weeks  (page 3)</t>
        </r>
      </text>
    </comment>
    <comment ref="W4" authorId="0" shapeId="0" xr:uid="{AB5C9057-D0D6-42D4-BE41-B9F176150E88}">
      <text>
        <r>
          <rPr>
            <b/>
            <sz val="9"/>
            <color indexed="81"/>
            <rFont val="Tahoma"/>
            <family val="2"/>
          </rPr>
          <t>Juan Baca:</t>
        </r>
        <r>
          <rPr>
            <sz val="9"/>
            <color indexed="81"/>
            <rFont val="Tahoma"/>
            <family val="2"/>
          </rPr>
          <t xml:space="preserve">
data from text (pages 8-9)</t>
        </r>
      </text>
    </comment>
    <comment ref="Y4" authorId="0" shapeId="0" xr:uid="{F9B3AC6E-68DB-4066-B254-C1648F5EC5E9}">
      <text>
        <r>
          <rPr>
            <b/>
            <sz val="9"/>
            <color indexed="81"/>
            <rFont val="Tahoma"/>
            <family val="2"/>
          </rPr>
          <t>Juan Baca:</t>
        </r>
        <r>
          <rPr>
            <sz val="9"/>
            <color indexed="81"/>
            <rFont val="Tahoma"/>
            <family val="2"/>
          </rPr>
          <t xml:space="preserve">
eight to ten roots had developed having mean lengths of 13 cm (legend Fig. 2)</t>
        </r>
      </text>
    </comment>
    <comment ref="J6" authorId="0" shapeId="0" xr:uid="{1693C7D6-B193-4D35-9A63-8B44AEC65856}">
      <text>
        <r>
          <rPr>
            <b/>
            <sz val="9"/>
            <color indexed="81"/>
            <rFont val="Tahoma"/>
            <family val="2"/>
          </rPr>
          <t>Juan Baca:</t>
        </r>
        <r>
          <rPr>
            <sz val="9"/>
            <color indexed="81"/>
            <rFont val="Tahoma"/>
            <family val="2"/>
          </rPr>
          <t xml:space="preserve">
new clear information about the age</t>
        </r>
      </text>
    </comment>
    <comment ref="T6" authorId="0" shapeId="0" xr:uid="{0592F7D2-5EFD-42F0-9259-207EF448AE0D}">
      <text>
        <r>
          <rPr>
            <b/>
            <sz val="9"/>
            <color indexed="81"/>
            <rFont val="Tahoma"/>
            <family val="2"/>
          </rPr>
          <t>Juan Baca:</t>
        </r>
        <r>
          <rPr>
            <sz val="9"/>
            <color indexed="81"/>
            <rFont val="Tahoma"/>
            <family val="2"/>
          </rPr>
          <t xml:space="preserve">
 three fine roots were excised under water at c. 10 cm from the tip (page 274)</t>
        </r>
      </text>
    </comment>
    <comment ref="J12" authorId="0" shapeId="0" xr:uid="{6C292DF7-B89F-470D-92EA-6C70146CD904}">
      <text>
        <r>
          <rPr>
            <b/>
            <sz val="9"/>
            <color indexed="81"/>
            <rFont val="Tahoma"/>
            <family val="2"/>
          </rPr>
          <t>Juan Baca:</t>
        </r>
        <r>
          <rPr>
            <sz val="9"/>
            <color indexed="81"/>
            <rFont val="Tahoma"/>
            <family val="2"/>
          </rPr>
          <t xml:space="preserve">
When plants were 6 days old (3 days of germination and 3 days of growth), they were transferred to osmotic stress or control solution for further 6 days until they were 12 days old
(page 345)</t>
        </r>
      </text>
    </comment>
    <comment ref="T12" authorId="0" shapeId="0" xr:uid="{CBC969C6-BCF8-4A67-9746-748C5FA328E7}">
      <text>
        <r>
          <rPr>
            <b/>
            <sz val="9"/>
            <color indexed="81"/>
            <rFont val="Tahoma"/>
            <family val="2"/>
          </rPr>
          <t>Juan Baca:</t>
        </r>
        <r>
          <rPr>
            <sz val="9"/>
            <color indexed="81"/>
            <rFont val="Tahoma"/>
            <family val="2"/>
          </rPr>
          <t xml:space="preserve">
Root pressure probe experiments were conducted with the end
segments/apical part of the seminal roots (page 346) -&gt; this corresponds to root tip + root transition zone</t>
        </r>
      </text>
    </comment>
    <comment ref="W12" authorId="0" shapeId="0" xr:uid="{5D726E84-5898-4AA1-B432-157323DE1E99}">
      <text>
        <r>
          <rPr>
            <b/>
            <sz val="9"/>
            <color indexed="81"/>
            <rFont val="Tahoma"/>
            <family val="2"/>
          </rPr>
          <t>Juan Baca:</t>
        </r>
        <r>
          <rPr>
            <sz val="9"/>
            <color indexed="81"/>
            <rFont val="Tahoma"/>
            <family val="2"/>
          </rPr>
          <t xml:space="preserve">
data from table 1</t>
        </r>
      </text>
    </comment>
    <comment ref="J20" authorId="0" shapeId="0" xr:uid="{D54AE55B-4BFA-49B0-B288-87D66768E500}">
      <text>
        <r>
          <rPr>
            <b/>
            <sz val="9"/>
            <color indexed="81"/>
            <rFont val="Tahoma"/>
            <family val="2"/>
          </rPr>
          <t>Juan Baca:</t>
        </r>
        <r>
          <rPr>
            <sz val="9"/>
            <color indexed="81"/>
            <rFont val="Tahoma"/>
            <family val="2"/>
          </rPr>
          <t xml:space="preserve">
 Lpr was measured in 2-week-old maize seedlings (legend figure 3)</t>
        </r>
      </text>
    </comment>
    <comment ref="K20" authorId="0" shapeId="0" xr:uid="{C43D2F66-76BD-405F-8453-54ECBBB6DF89}">
      <text>
        <r>
          <rPr>
            <b/>
            <sz val="9"/>
            <color indexed="81"/>
            <rFont val="Tahoma"/>
            <family val="2"/>
          </rPr>
          <t>Juan Baca:</t>
        </r>
        <r>
          <rPr>
            <sz val="9"/>
            <color indexed="81"/>
            <rFont val="Tahoma"/>
            <family val="2"/>
          </rPr>
          <t xml:space="preserve">
AQP enhancement or inhibition achieved thorugh different mutant lines</t>
        </r>
      </text>
    </comment>
    <comment ref="J26" authorId="0" shapeId="0" xr:uid="{6292D8C1-6D03-42D6-9FEB-C97AEFBE45A8}">
      <text>
        <r>
          <rPr>
            <b/>
            <sz val="9"/>
            <color indexed="81"/>
            <rFont val="Tahoma"/>
            <charset val="1"/>
          </rPr>
          <t>Juan Baca:</t>
        </r>
        <r>
          <rPr>
            <sz val="9"/>
            <color indexed="81"/>
            <rFont val="Tahoma"/>
            <charset val="1"/>
          </rPr>
          <t xml:space="preserve">
When plants were seven-week old, the containers were opened from one side and roots were carefully washed from the soil. Unbranched segments of
different root types of maize (lateral, seminal, crown, and brace roots)
and lateral roots of lupine were excised and connected to a pressure
probe to measure their hydraulic properties (page 32)</t>
        </r>
      </text>
    </comment>
    <comment ref="Z26" authorId="0" shapeId="0" xr:uid="{9163894F-E65D-4F98-A985-23339918FD91}">
      <text>
        <r>
          <rPr>
            <b/>
            <sz val="9"/>
            <color indexed="81"/>
            <rFont val="Tahoma"/>
            <charset val="1"/>
          </rPr>
          <t>Juan Baca:</t>
        </r>
        <r>
          <rPr>
            <sz val="9"/>
            <color indexed="81"/>
            <rFont val="Tahoma"/>
            <charset val="1"/>
          </rPr>
          <t xml:space="preserve">
data from text (page 35)</t>
        </r>
      </text>
    </comment>
    <comment ref="T30" authorId="0" shapeId="0" xr:uid="{B64460F9-6307-4E27-97EC-454617C421BA}">
      <text>
        <r>
          <rPr>
            <b/>
            <sz val="9"/>
            <color indexed="81"/>
            <rFont val="Tahoma"/>
            <charset val="1"/>
          </rPr>
          <t>Juan Baca:</t>
        </r>
        <r>
          <rPr>
            <sz val="9"/>
            <color indexed="81"/>
            <rFont val="Tahoma"/>
            <charset val="1"/>
          </rPr>
          <t xml:space="preserve">
root section defined on distance steps in Figure 4c</t>
        </r>
      </text>
    </comment>
    <comment ref="J39" authorId="0" shapeId="0" xr:uid="{109A34D2-2858-4A7F-83C9-6F65711565C4}">
      <text>
        <r>
          <rPr>
            <b/>
            <sz val="9"/>
            <color indexed="81"/>
            <rFont val="Tahoma"/>
            <family val="2"/>
          </rPr>
          <t>Juan Baca:</t>
        </r>
        <r>
          <rPr>
            <sz val="9"/>
            <color indexed="81"/>
            <rFont val="Tahoma"/>
            <family val="2"/>
          </rPr>
          <t xml:space="preserve">
The plants used in
the experiments were grown for 16–20 d, including the germination period (page 630)</t>
        </r>
      </text>
    </comment>
    <comment ref="T39" authorId="0" shapeId="0" xr:uid="{FBABB661-D6A7-46B6-9188-0ED1FC5E272C}">
      <text>
        <r>
          <rPr>
            <b/>
            <sz val="9"/>
            <color indexed="81"/>
            <rFont val="Tahoma"/>
            <family val="2"/>
          </rPr>
          <t>Juan Baca:</t>
        </r>
        <r>
          <rPr>
            <sz val="9"/>
            <color indexed="81"/>
            <rFont val="Tahoma"/>
            <family val="2"/>
          </rPr>
          <t xml:space="preserve">
The Lpr of the end segments/apical part of the seminal roots
(Zone-I; length: 50–75mm) and total seminal roots (length:
approx. 200mm) (page 630)</t>
        </r>
      </text>
    </comment>
    <comment ref="W39" authorId="0" shapeId="0" xr:uid="{48541431-41AE-4CA6-B9EE-A0C2F1C6E853}">
      <text>
        <r>
          <rPr>
            <b/>
            <sz val="9"/>
            <color indexed="81"/>
            <rFont val="Tahoma"/>
            <family val="2"/>
          </rPr>
          <t>Juan Baca:</t>
        </r>
        <r>
          <rPr>
            <sz val="9"/>
            <color indexed="81"/>
            <rFont val="Tahoma"/>
            <family val="2"/>
          </rPr>
          <t xml:space="preserve">
data extracted from text (pages 632-633) and table 1</t>
        </r>
      </text>
    </comment>
    <comment ref="Y39" authorId="0" shapeId="0" xr:uid="{BB1A0033-74C0-4097-AEAF-EFB0BAE5A854}">
      <text>
        <r>
          <rPr>
            <b/>
            <sz val="9"/>
            <color indexed="81"/>
            <rFont val="Tahoma"/>
            <family val="2"/>
          </rPr>
          <t>Juan Baca:</t>
        </r>
        <r>
          <rPr>
            <sz val="9"/>
            <color indexed="81"/>
            <rFont val="Tahoma"/>
            <family val="2"/>
          </rPr>
          <t xml:space="preserve">
The Lpr of the end segments/apical part of the seminal roots
(Zone-I; length: 50–75mm) and total seminal roots (length:
approx. 200mm) (page 630)</t>
        </r>
      </text>
    </comment>
    <comment ref="Z39" authorId="0" shapeId="0" xr:uid="{B018FFEA-8EB7-412C-A97E-2B9375394F88}">
      <text>
        <r>
          <rPr>
            <b/>
            <sz val="9"/>
            <color indexed="81"/>
            <rFont val="Tahoma"/>
            <family val="2"/>
          </rPr>
          <t>Juan Baca:</t>
        </r>
        <r>
          <rPr>
            <sz val="9"/>
            <color indexed="81"/>
            <rFont val="Tahoma"/>
            <family val="2"/>
          </rPr>
          <t xml:space="preserve">
maximum length and average diameter of the seminal roots varied between 70 and 140 mm and 0 4 and 0 6 mm (page 630)</t>
        </r>
      </text>
    </comment>
    <comment ref="J42" authorId="0" shapeId="0" xr:uid="{9F3977D4-F120-476D-82AA-268A8D1E6AB1}">
      <text>
        <r>
          <rPr>
            <b/>
            <sz val="9"/>
            <color indexed="81"/>
            <rFont val="Tahoma"/>
            <family val="2"/>
          </rPr>
          <t>Juan Baca:</t>
        </r>
        <r>
          <rPr>
            <sz val="9"/>
            <color indexed="81"/>
            <rFont val="Tahoma"/>
            <family val="2"/>
          </rPr>
          <t xml:space="preserve">
no clear information about age -&gt; old forests</t>
        </r>
      </text>
    </comment>
    <comment ref="T42" authorId="0" shapeId="0" xr:uid="{FAAAC59D-997B-4FA6-A3F5-1C3B2E1F2E68}">
      <text>
        <r>
          <rPr>
            <b/>
            <sz val="9"/>
            <color indexed="81"/>
            <rFont val="Tahoma"/>
            <family val="2"/>
          </rPr>
          <t>Juan Baca:</t>
        </r>
        <r>
          <rPr>
            <sz val="9"/>
            <color indexed="81"/>
            <rFont val="Tahoma"/>
            <family val="2"/>
          </rPr>
          <t xml:space="preserve">
no specific information about where the root segments where taken from</t>
        </r>
      </text>
    </comment>
    <comment ref="Z42" authorId="0" shapeId="0" xr:uid="{860B6595-2565-4295-9733-7146804D002D}">
      <text>
        <r>
          <rPr>
            <b/>
            <sz val="9"/>
            <color indexed="81"/>
            <rFont val="Tahoma"/>
            <family val="2"/>
          </rPr>
          <t>Juan Baca:</t>
        </r>
        <r>
          <rPr>
            <sz val="9"/>
            <color indexed="81"/>
            <rFont val="Tahoma"/>
            <family val="2"/>
          </rPr>
          <t xml:space="preserve">
For the shallow roots, we excavated an individual root of appropriate diameter (mean diameter = 1.8 ± 0.4 cm) (page 1325)</t>
        </r>
      </text>
    </comment>
    <comment ref="J56" authorId="0" shapeId="0" xr:uid="{C18D3F7D-E5D3-401C-ABDF-001DC977DE63}">
      <text>
        <r>
          <rPr>
            <b/>
            <sz val="9"/>
            <color indexed="81"/>
            <rFont val="Tahoma"/>
            <family val="2"/>
          </rPr>
          <t>Juan Baca:</t>
        </r>
        <r>
          <rPr>
            <sz val="9"/>
            <color indexed="81"/>
            <rFont val="Tahoma"/>
            <family val="2"/>
          </rPr>
          <t xml:space="preserve">
age from legend Fig 2</t>
        </r>
      </text>
    </comment>
    <comment ref="J62" authorId="0" shapeId="0" xr:uid="{3689DDBF-DA94-4045-B245-B9B4B9EA368F}">
      <text>
        <r>
          <rPr>
            <b/>
            <sz val="9"/>
            <color indexed="81"/>
            <rFont val="Tahoma"/>
            <family val="2"/>
          </rPr>
          <t>Juan Baca:</t>
        </r>
        <r>
          <rPr>
            <sz val="9"/>
            <color indexed="81"/>
            <rFont val="Tahoma"/>
            <family val="2"/>
          </rPr>
          <t xml:space="preserve">
 plants were analysed when they were 9–13, 14–18, 19–23 and 24–28 d old</t>
        </r>
      </text>
    </comment>
    <comment ref="J69" authorId="0" shapeId="0" xr:uid="{8F64AD0E-178D-49FE-837C-B54C49726EE1}">
      <text>
        <r>
          <rPr>
            <b/>
            <sz val="9"/>
            <color indexed="81"/>
            <rFont val="Tahoma"/>
            <family val="2"/>
          </rPr>
          <t>Juan Baca:</t>
        </r>
        <r>
          <rPr>
            <sz val="9"/>
            <color indexed="81"/>
            <rFont val="Tahoma"/>
            <family val="2"/>
          </rPr>
          <t xml:space="preserve">
 Plants were grown under greenhouse conditions
for 6 to 8 weeks prior to conducting the root experiments (page 1262)</t>
        </r>
      </text>
    </comment>
    <comment ref="T69" authorId="0" shapeId="0" xr:uid="{F00603FE-DA78-4EAF-9EB2-C06A51372DE0}">
      <text>
        <r>
          <rPr>
            <b/>
            <sz val="9"/>
            <color indexed="81"/>
            <rFont val="Tahoma"/>
            <family val="2"/>
          </rPr>
          <t>Juan Baca:</t>
        </r>
        <r>
          <rPr>
            <sz val="9"/>
            <color indexed="81"/>
            <rFont val="Tahoma"/>
            <family val="2"/>
          </rPr>
          <t xml:space="preserve">
For root tips, the first 10 to 20 mm including the tip was used. Secondary root portions (typically 10–20 mm in length) did not contain any lateral
roots (page 1263)</t>
        </r>
      </text>
    </comment>
    <comment ref="T70" authorId="0" shapeId="0" xr:uid="{AB719153-7FDD-4C3A-A8FA-72BDA26C5F1F}">
      <text>
        <r>
          <rPr>
            <b/>
            <sz val="9"/>
            <color indexed="81"/>
            <rFont val="Tahoma"/>
            <family val="2"/>
          </rPr>
          <t>Juan Baca:</t>
        </r>
        <r>
          <rPr>
            <sz val="9"/>
            <color indexed="81"/>
            <rFont val="Tahoma"/>
            <family val="2"/>
          </rPr>
          <t xml:space="preserve">
defined as secondary root growth zones</t>
        </r>
      </text>
    </comment>
    <comment ref="W71" authorId="0" shapeId="0" xr:uid="{F3859E77-1F41-471D-A1E0-A8037D3FFB32}">
      <text>
        <r>
          <rPr>
            <b/>
            <sz val="9"/>
            <color indexed="81"/>
            <rFont val="Tahoma"/>
            <family val="2"/>
          </rPr>
          <t>Juan Baca:</t>
        </r>
        <r>
          <rPr>
            <sz val="9"/>
            <color indexed="81"/>
            <rFont val="Tahoma"/>
            <family val="2"/>
          </rPr>
          <t xml:space="preserve">
Inhibition had
very little effect on LprHy, decreasing 5% in the
meristematic and elongation zones while remaining unchanged in the secondary growth zone (page 1257)</t>
        </r>
      </text>
    </comment>
    <comment ref="J73" authorId="0" shapeId="0" xr:uid="{AE71DA3C-DE84-47F7-9428-9F1AA172E26B}">
      <text>
        <r>
          <rPr>
            <b/>
            <sz val="9"/>
            <color indexed="81"/>
            <rFont val="Tahoma"/>
            <family val="2"/>
          </rPr>
          <t>Juan Baca:</t>
        </r>
        <r>
          <rPr>
            <sz val="9"/>
            <color indexed="81"/>
            <rFont val="Tahoma"/>
            <family val="2"/>
          </rPr>
          <t xml:space="preserve">
When plants had grown for 7–9 d on nutrient solution, they were used for experiments (page 186)</t>
        </r>
      </text>
    </comment>
    <comment ref="W73" authorId="0" shapeId="0" xr:uid="{F610BE69-F271-415A-971E-067E58836A23}">
      <text>
        <r>
          <rPr>
            <b/>
            <sz val="9"/>
            <color indexed="81"/>
            <rFont val="Tahoma"/>
            <family val="2"/>
          </rPr>
          <t>Juan Baca:</t>
        </r>
        <r>
          <rPr>
            <sz val="9"/>
            <color indexed="81"/>
            <rFont val="Tahoma"/>
            <family val="2"/>
          </rPr>
          <t xml:space="preserve">
data from text (page 191)</t>
        </r>
      </text>
    </comment>
    <comment ref="J75" authorId="0" shapeId="0" xr:uid="{84F583D5-BFC9-4EE2-ACC6-72896C52EFE3}">
      <text>
        <r>
          <rPr>
            <b/>
            <sz val="9"/>
            <color indexed="81"/>
            <rFont val="Tahoma"/>
            <family val="2"/>
          </rPr>
          <t>Juan Baca:</t>
        </r>
        <r>
          <rPr>
            <sz val="9"/>
            <color indexed="81"/>
            <rFont val="Tahoma"/>
            <family val="2"/>
          </rPr>
          <t xml:space="preserve">
the primary
root of 10-day-old hydroponically grown maize seedlings
was excised at the base under water, inserted into a glass capillary (page 187)</t>
        </r>
      </text>
    </comment>
    <comment ref="W75" authorId="0" shapeId="0" xr:uid="{989367B9-4E16-4379-AF4D-26282B5E7F4F}">
      <text>
        <r>
          <rPr>
            <b/>
            <sz val="9"/>
            <color indexed="81"/>
            <rFont val="Tahoma"/>
            <family val="2"/>
          </rPr>
          <t>Juan Baca:</t>
        </r>
        <r>
          <rPr>
            <sz val="9"/>
            <color indexed="81"/>
            <rFont val="Tahoma"/>
            <family val="2"/>
          </rPr>
          <t xml:space="preserve">
data from text (page 192)</t>
        </r>
      </text>
    </comment>
    <comment ref="J76" authorId="0" shapeId="0" xr:uid="{AC15D1FC-F862-4556-8881-B843EC3D8408}">
      <text>
        <r>
          <rPr>
            <b/>
            <sz val="9"/>
            <color indexed="81"/>
            <rFont val="Tahoma"/>
            <family val="2"/>
          </rPr>
          <t>Juan Baca:</t>
        </r>
        <r>
          <rPr>
            <sz val="9"/>
            <color indexed="81"/>
            <rFont val="Tahoma"/>
            <family val="2"/>
          </rPr>
          <t xml:space="preserve">
no clear infromation about age</t>
        </r>
      </text>
    </comment>
    <comment ref="J84" authorId="0" shapeId="0" xr:uid="{568614F2-1082-4255-8B49-C797DFA3E100}">
      <text>
        <r>
          <rPr>
            <b/>
            <sz val="9"/>
            <color indexed="81"/>
            <rFont val="Tahoma"/>
            <family val="2"/>
          </rPr>
          <t>Juan Baca:</t>
        </r>
        <r>
          <rPr>
            <sz val="9"/>
            <color indexed="81"/>
            <rFont val="Tahoma"/>
            <family val="2"/>
          </rPr>
          <t xml:space="preserve">
Plants were analysed when they were 14–17 d old. (page 4116)</t>
        </r>
      </text>
    </comment>
    <comment ref="L84" authorId="0" shapeId="0" xr:uid="{E98EA36C-1C9F-4B3A-B13B-249535EC902F}">
      <text>
        <r>
          <rPr>
            <b/>
            <sz val="9"/>
            <color indexed="81"/>
            <rFont val="Tahoma"/>
            <family val="2"/>
          </rPr>
          <t>Juan Baca:</t>
        </r>
        <r>
          <rPr>
            <sz val="9"/>
            <color indexed="81"/>
            <rFont val="Tahoma"/>
            <family val="2"/>
          </rPr>
          <t xml:space="preserve">
AQP inhibition achieved by applying HgCL2; recovery by using DTT</t>
        </r>
      </text>
    </comment>
    <comment ref="W84" authorId="0" shapeId="0" xr:uid="{36BF8872-63B1-4BF0-AAC1-C6976F6CE339}">
      <text>
        <r>
          <rPr>
            <b/>
            <sz val="9"/>
            <color indexed="81"/>
            <rFont val="Tahoma"/>
            <family val="2"/>
          </rPr>
          <t>Juan Baca:</t>
        </r>
        <r>
          <rPr>
            <sz val="9"/>
            <color indexed="81"/>
            <rFont val="Tahoma"/>
            <family val="2"/>
          </rPr>
          <t xml:space="preserve">
data from table 1</t>
        </r>
      </text>
    </comment>
    <comment ref="Y84" authorId="0" shapeId="0" xr:uid="{75338A04-354C-48F4-A8CE-48318F2A203E}">
      <text>
        <r>
          <rPr>
            <b/>
            <sz val="9"/>
            <color indexed="81"/>
            <rFont val="Tahoma"/>
            <family val="2"/>
          </rPr>
          <t>Juan Baca:</t>
        </r>
        <r>
          <rPr>
            <sz val="9"/>
            <color indexed="81"/>
            <rFont val="Tahoma"/>
            <family val="2"/>
          </rPr>
          <t xml:space="preserve">
The length of excised roots ranged from 6 to 11 cm in seminal and 4 to 6 cm in adventitious roots</t>
        </r>
      </text>
    </comment>
    <comment ref="J85" authorId="0" shapeId="0" xr:uid="{15584ECA-8A3D-46AE-A628-D85892241830}">
      <text>
        <r>
          <rPr>
            <b/>
            <sz val="9"/>
            <color indexed="81"/>
            <rFont val="Tahoma"/>
            <family val="2"/>
          </rPr>
          <t>Juan Baca:</t>
        </r>
        <r>
          <rPr>
            <sz val="9"/>
            <color indexed="81"/>
            <rFont val="Tahoma"/>
            <family val="2"/>
          </rPr>
          <t xml:space="preserve">
Adventitious roots appeared when plants were 11–13 d old (page 4116)</t>
        </r>
      </text>
    </comment>
    <comment ref="J88" authorId="0" shapeId="0" xr:uid="{53E7E7E6-66BF-4D7F-9D26-4704F11633BC}">
      <text>
        <r>
          <rPr>
            <b/>
            <sz val="9"/>
            <color indexed="81"/>
            <rFont val="Tahoma"/>
            <family val="2"/>
          </rPr>
          <t>Juan Baca:</t>
        </r>
        <r>
          <rPr>
            <sz val="9"/>
            <color indexed="81"/>
            <rFont val="Tahoma"/>
            <family val="2"/>
          </rPr>
          <t xml:space="preserve">
plants analyzed when they were 14-17 days old (page 719)</t>
        </r>
      </text>
    </comment>
    <comment ref="W88" authorId="0" shapeId="0" xr:uid="{583C936D-0E13-45EF-BD15-4410644D46E7}">
      <text>
        <r>
          <rPr>
            <b/>
            <sz val="9"/>
            <color indexed="81"/>
            <rFont val="Tahoma"/>
            <family val="2"/>
          </rPr>
          <t>Juan Baca:</t>
        </r>
        <r>
          <rPr>
            <sz val="9"/>
            <color indexed="81"/>
            <rFont val="Tahoma"/>
            <family val="2"/>
          </rPr>
          <t xml:space="preserve">
conductance/conductivityy data data from table 3</t>
        </r>
      </text>
    </comment>
    <comment ref="X88" authorId="0" shapeId="0" xr:uid="{1586B155-0439-4C08-A013-75139CE1C728}">
      <text>
        <r>
          <rPr>
            <b/>
            <sz val="9"/>
            <color indexed="81"/>
            <rFont val="Tahoma"/>
            <family val="2"/>
          </rPr>
          <t>Juan Baca:</t>
        </r>
        <r>
          <rPr>
            <sz val="9"/>
            <color indexed="81"/>
            <rFont val="Tahoma"/>
            <family val="2"/>
          </rPr>
          <t xml:space="preserve">
surface area reported in page 724</t>
        </r>
      </text>
    </comment>
    <comment ref="Z88" authorId="1" shapeId="0" xr:uid="{10A1502B-C784-4A1A-A89D-9DBEF5C3B9FF}">
      <text>
        <r>
          <rPr>
            <b/>
            <sz val="9"/>
            <color indexed="81"/>
            <rFont val="Tahoma"/>
            <family val="2"/>
          </rPr>
          <t>Juan:</t>
        </r>
        <r>
          <rPr>
            <sz val="9"/>
            <color indexed="81"/>
            <rFont val="Tahoma"/>
            <family val="2"/>
          </rPr>
          <t xml:space="preserve">
diameter data from text; Compared with seminal roots, adventitious roots were 1.5- to 2-fold thicker (mean diameter 968.682 um as compared with 509.682 lm (page 723)</t>
        </r>
      </text>
    </comment>
    <comment ref="W95" authorId="0" shapeId="0" xr:uid="{5117A98C-5FBA-4ED8-AEA2-DB8F815A8AE9}">
      <text>
        <r>
          <rPr>
            <b/>
            <sz val="9"/>
            <color indexed="81"/>
            <rFont val="Tahoma"/>
            <family val="2"/>
          </rPr>
          <t>Juan Baca:</t>
        </r>
        <r>
          <rPr>
            <sz val="9"/>
            <color indexed="81"/>
            <rFont val="Tahoma"/>
            <family val="2"/>
          </rPr>
          <t xml:space="preserve">
data from table 5: values selected correspond to calculated values based on Lp and Kh (either measured with hydrostatic or osmotic methods)</t>
        </r>
      </text>
    </comment>
    <comment ref="J103" authorId="0" shapeId="0" xr:uid="{4C9543A3-3031-4962-AE34-3485C162E3B7}">
      <text>
        <r>
          <rPr>
            <b/>
            <sz val="9"/>
            <color indexed="81"/>
            <rFont val="Tahoma"/>
            <family val="2"/>
          </rPr>
          <t>Juan Baca:</t>
        </r>
        <r>
          <rPr>
            <sz val="9"/>
            <color indexed="81"/>
            <rFont val="Tahoma"/>
            <family val="2"/>
          </rPr>
          <t xml:space="preserve">
no clear infromation about age</t>
        </r>
      </text>
    </comment>
    <comment ref="L103" authorId="0" shapeId="0" xr:uid="{E9730CC9-F4D1-4D31-A3B2-36B6E5CBF4AF}">
      <text>
        <r>
          <rPr>
            <b/>
            <sz val="9"/>
            <color indexed="81"/>
            <rFont val="Tahoma"/>
            <family val="2"/>
          </rPr>
          <t>Juan Baca:</t>
        </r>
        <r>
          <rPr>
            <sz val="9"/>
            <color indexed="81"/>
            <rFont val="Tahoma"/>
            <family val="2"/>
          </rPr>
          <t xml:space="preserve">
AQP inhibition thorugh exposure to OH radicals</t>
        </r>
      </text>
    </comment>
    <comment ref="S103" authorId="0" shapeId="0" xr:uid="{508E7E37-1337-4FA5-A2F3-762F1B53ADE7}">
      <text>
        <r>
          <rPr>
            <b/>
            <sz val="9"/>
            <color indexed="81"/>
            <rFont val="Tahoma"/>
            <family val="2"/>
          </rPr>
          <t>Juan Baca:</t>
        </r>
        <r>
          <rPr>
            <sz val="9"/>
            <color indexed="81"/>
            <rFont val="Tahoma"/>
            <family val="2"/>
          </rPr>
          <t xml:space="preserve">
described as "white" root</t>
        </r>
      </text>
    </comment>
    <comment ref="T103" authorId="0" shapeId="0" xr:uid="{A289036A-AC92-41E5-9EA0-59E176282044}">
      <text>
        <r>
          <rPr>
            <b/>
            <sz val="9"/>
            <color indexed="81"/>
            <rFont val="Tahoma"/>
            <family val="2"/>
          </rPr>
          <t>Juan Baca:</t>
        </r>
        <r>
          <rPr>
            <sz val="9"/>
            <color indexed="81"/>
            <rFont val="Tahoma"/>
            <family val="2"/>
          </rPr>
          <t xml:space="preserve">
 Distal root segments
were gently removed from the loosened soil under water. Roots were transferred to a water-filled tray and trimmed to
a final length of 5 cm with the tips left intact (page 1320)</t>
        </r>
      </text>
    </comment>
    <comment ref="J113" authorId="0" shapeId="0" xr:uid="{34BFD215-FBBE-4413-8AF7-7BAF570322F0}">
      <text>
        <r>
          <rPr>
            <b/>
            <sz val="9"/>
            <color indexed="81"/>
            <rFont val="Tahoma"/>
            <family val="2"/>
          </rPr>
          <t>Juan Baca:</t>
        </r>
        <r>
          <rPr>
            <sz val="9"/>
            <color indexed="81"/>
            <rFont val="Tahoma"/>
            <family val="2"/>
          </rPr>
          <t xml:space="preserve">
no clear infromation about the age; grown in the lab</t>
        </r>
      </text>
    </comment>
    <comment ref="K113" authorId="0" shapeId="0" xr:uid="{E077BC43-463A-486E-BFA5-5E7DC2AA9117}">
      <text>
        <r>
          <rPr>
            <b/>
            <sz val="9"/>
            <color indexed="81"/>
            <rFont val="Tahoma"/>
            <family val="2"/>
          </rPr>
          <t>Juan Baca:</t>
        </r>
        <r>
          <rPr>
            <sz val="9"/>
            <color indexed="81"/>
            <rFont val="Tahoma"/>
            <family val="2"/>
          </rPr>
          <t xml:space="preserve">
either ^fine or woody and fully sunlight or grown under shade</t>
        </r>
      </text>
    </comment>
    <comment ref="J137" authorId="0" shapeId="0" xr:uid="{DE85EFA6-B462-4BB6-A24B-0867D55D9330}">
      <text>
        <r>
          <rPr>
            <b/>
            <sz val="9"/>
            <color indexed="81"/>
            <rFont val="Tahoma"/>
            <family val="2"/>
          </rPr>
          <t>Juan Baca:</t>
        </r>
        <r>
          <rPr>
            <sz val="9"/>
            <color indexed="81"/>
            <rFont val="Tahoma"/>
            <family val="2"/>
          </rPr>
          <t xml:space="preserve">
no clear infromation about age</t>
        </r>
      </text>
    </comment>
    <comment ref="W137" authorId="0" shapeId="0" xr:uid="{C2390069-E103-4E0F-8720-B4A32830C560}">
      <text>
        <r>
          <rPr>
            <b/>
            <sz val="9"/>
            <color indexed="81"/>
            <rFont val="Tahoma"/>
            <family val="2"/>
          </rPr>
          <t>Juan Baca:</t>
        </r>
        <r>
          <rPr>
            <sz val="9"/>
            <color indexed="81"/>
            <rFont val="Tahoma"/>
            <family val="2"/>
          </rPr>
          <t xml:space="preserve">
data from table 1</t>
        </r>
      </text>
    </comment>
    <comment ref="W141" authorId="0" shapeId="0" xr:uid="{CFC98F41-96F3-438B-BB19-EF50A383F667}">
      <text>
        <r>
          <rPr>
            <b/>
            <sz val="9"/>
            <color indexed="81"/>
            <rFont val="Tahoma"/>
            <family val="2"/>
          </rPr>
          <t>Juan Baca:</t>
        </r>
        <r>
          <rPr>
            <sz val="9"/>
            <color indexed="81"/>
            <rFont val="Tahoma"/>
            <family val="2"/>
          </rPr>
          <t xml:space="preserve">
data from table 5</t>
        </r>
      </text>
    </comment>
    <comment ref="J143" authorId="0" shapeId="0" xr:uid="{2D0AF559-A82C-42CF-8CC1-527C023D3AC7}">
      <text>
        <r>
          <rPr>
            <b/>
            <sz val="9"/>
            <color indexed="81"/>
            <rFont val="Tahoma"/>
            <family val="2"/>
          </rPr>
          <t>Juan Baca:</t>
        </r>
        <r>
          <rPr>
            <sz val="9"/>
            <color indexed="81"/>
            <rFont val="Tahoma"/>
            <family val="2"/>
          </rPr>
          <t xml:space="preserve">
Seminal roots of
corn used were 7–10 d old, including the time for germination (page 635)</t>
        </r>
      </text>
    </comment>
    <comment ref="W143" authorId="0" shapeId="0" xr:uid="{DE325CEF-E103-4BC0-B382-ADCDB044A97A}">
      <text>
        <r>
          <rPr>
            <b/>
            <sz val="9"/>
            <color indexed="81"/>
            <rFont val="Tahoma"/>
            <family val="2"/>
          </rPr>
          <t>Juan Baca:</t>
        </r>
        <r>
          <rPr>
            <sz val="9"/>
            <color indexed="81"/>
            <rFont val="Tahoma"/>
            <family val="2"/>
          </rPr>
          <t xml:space="preserve">
all data from table 1</t>
        </r>
      </text>
    </comment>
    <comment ref="J144" authorId="0" shapeId="0" xr:uid="{ADD5CF20-85B3-4BA4-82CD-57E56FF781A2}">
      <text>
        <r>
          <rPr>
            <b/>
            <sz val="9"/>
            <color indexed="81"/>
            <rFont val="Tahoma"/>
            <family val="2"/>
          </rPr>
          <t>Juan Baca:</t>
        </r>
        <r>
          <rPr>
            <sz val="9"/>
            <color indexed="81"/>
            <rFont val="Tahoma"/>
            <family val="2"/>
          </rPr>
          <t xml:space="preserve">
Including the time for germination, seminal roots of barley used were 8–10 d old (page 635)</t>
        </r>
      </text>
    </comment>
    <comment ref="J145" authorId="0" shapeId="0" xr:uid="{99E3B59E-8038-473B-8142-1446375CEFC1}">
      <text>
        <r>
          <rPr>
            <b/>
            <sz val="9"/>
            <color indexed="81"/>
            <rFont val="Tahoma"/>
            <family val="2"/>
          </rPr>
          <t>Juan Baca:</t>
        </r>
        <r>
          <rPr>
            <sz val="9"/>
            <color indexed="81"/>
            <rFont val="Tahoma"/>
            <family val="2"/>
          </rPr>
          <t xml:space="preserve">
all experiements performed at 14 days afeter sowing (page 361)</t>
        </r>
      </text>
    </comment>
    <comment ref="W145" authorId="0" shapeId="0" xr:uid="{1CCE7BF9-0F92-4DE6-8B59-C662DA2F44F5}">
      <text>
        <r>
          <rPr>
            <b/>
            <sz val="9"/>
            <color indexed="81"/>
            <rFont val="Tahoma"/>
            <family val="2"/>
          </rPr>
          <t>Juan Baca:</t>
        </r>
        <r>
          <rPr>
            <sz val="9"/>
            <color indexed="81"/>
            <rFont val="Tahoma"/>
            <family val="2"/>
          </rPr>
          <t xml:space="preserve">
all data from table 2</t>
        </r>
      </text>
    </comment>
    <comment ref="J148" authorId="0" shapeId="0" xr:uid="{755506E2-3AC1-4976-B161-F7A09ED6D9D4}">
      <text>
        <r>
          <rPr>
            <b/>
            <sz val="9"/>
            <color indexed="81"/>
            <rFont val="Tahoma"/>
            <family val="2"/>
          </rPr>
          <t>Juan Baca:</t>
        </r>
        <r>
          <rPr>
            <sz val="9"/>
            <color indexed="81"/>
            <rFont val="Tahoma"/>
            <family val="2"/>
          </rPr>
          <t xml:space="preserve">
Total root length was measured in 5-day old seedlings (time 0 h) + duration of experiment (page 467) </t>
        </r>
      </text>
    </comment>
    <comment ref="J153" authorId="0" shapeId="0" xr:uid="{35DF26B1-B85C-4FCF-A590-701533A2F000}">
      <text>
        <r>
          <rPr>
            <b/>
            <sz val="9"/>
            <color indexed="81"/>
            <rFont val="Tahoma"/>
            <family val="2"/>
          </rPr>
          <t>Juan Baca:</t>
        </r>
        <r>
          <rPr>
            <sz val="9"/>
            <color indexed="81"/>
            <rFont val="Tahoma"/>
            <family val="2"/>
          </rPr>
          <t xml:space="preserve">
After 6 days of culture, the plants were transferred into a nutrient
solution with or without P. Nine seminal roots for each treatment were taken randomly for hydraulic conductivity measurements after 1, 4, 8 and 12 d of treatment. (page 602)</t>
        </r>
      </text>
    </comment>
    <comment ref="J161" authorId="0" shapeId="0" xr:uid="{E187B294-F7B0-4AA3-8DE0-1547ABC8E042}">
      <text>
        <r>
          <rPr>
            <b/>
            <sz val="9"/>
            <color indexed="81"/>
            <rFont val="Tahoma"/>
            <family val="2"/>
          </rPr>
          <t>Juan Baca:</t>
        </r>
        <r>
          <rPr>
            <sz val="9"/>
            <color indexed="81"/>
            <rFont val="Tahoma"/>
            <family val="2"/>
          </rPr>
          <t xml:space="preserve">
Ten to 14 d after planting, the longest seminal root of wheat and maize, or the taproot of lupin, was excised 100–130 mm from the root tip (page 863)</t>
        </r>
      </text>
    </comment>
    <comment ref="J173" authorId="0" shapeId="0" xr:uid="{7AF670DB-E614-4C82-982A-E0A6E4C935FD}">
      <text>
        <r>
          <rPr>
            <b/>
            <sz val="9"/>
            <color indexed="81"/>
            <rFont val="Tahoma"/>
            <family val="2"/>
          </rPr>
          <t>Juan Baca:</t>
        </r>
        <r>
          <rPr>
            <sz val="9"/>
            <color indexed="81"/>
            <rFont val="Tahoma"/>
            <family val="2"/>
          </rPr>
          <t xml:space="preserve">
The seedling was 15d old, and treated 10d before measurement (legend Fig1)</t>
        </r>
      </text>
    </comment>
    <comment ref="K173" authorId="0" shapeId="0" xr:uid="{3ED2D121-9302-475A-9E82-FFA05AD59C5A}">
      <text>
        <r>
          <rPr>
            <b/>
            <sz val="9"/>
            <color indexed="81"/>
            <rFont val="Tahoma"/>
            <family val="2"/>
          </rPr>
          <t>Juan Baca:</t>
        </r>
        <r>
          <rPr>
            <sz val="9"/>
            <color indexed="81"/>
            <rFont val="Tahoma"/>
            <family val="2"/>
          </rPr>
          <t xml:space="preserve">
drought induced by applying PEG to the nutrient solution</t>
        </r>
      </text>
    </comment>
    <comment ref="J179" authorId="0" shapeId="0" xr:uid="{4EFB1609-5F59-4973-8FC7-51FCEC94F855}">
      <text>
        <r>
          <rPr>
            <b/>
            <sz val="9"/>
            <color indexed="81"/>
            <rFont val="Tahoma"/>
            <family val="2"/>
          </rPr>
          <t>Juan Baca:</t>
        </r>
        <r>
          <rPr>
            <sz val="9"/>
            <color indexed="81"/>
            <rFont val="Tahoma"/>
            <family val="2"/>
          </rPr>
          <t xml:space="preserve">
21-27 days of treatment initiated in 15 day old plants (page 656)</t>
        </r>
      </text>
    </comment>
    <comment ref="W179" authorId="0" shapeId="0" xr:uid="{C123D3C4-744C-44AD-831E-72BECB138865}">
      <text>
        <r>
          <rPr>
            <b/>
            <sz val="9"/>
            <color indexed="81"/>
            <rFont val="Tahoma"/>
            <family val="2"/>
          </rPr>
          <t>Juan Baca:</t>
        </r>
        <r>
          <rPr>
            <sz val="9"/>
            <color indexed="81"/>
            <rFont val="Tahoma"/>
            <family val="2"/>
          </rPr>
          <t xml:space="preserve">
data from table 1</t>
        </r>
      </text>
    </comment>
    <comment ref="Y179" authorId="0" shapeId="0" xr:uid="{143DC591-1F4D-4D7D-B492-57B04FF677C9}">
      <text>
        <r>
          <rPr>
            <b/>
            <sz val="9"/>
            <color indexed="81"/>
            <rFont val="Tahoma"/>
            <family val="2"/>
          </rPr>
          <t>Juan Baca:</t>
        </r>
        <r>
          <rPr>
            <sz val="9"/>
            <color indexed="81"/>
            <rFont val="Tahoma"/>
            <family val="2"/>
          </rPr>
          <t xml:space="preserve">
excised roots with tips (100–140 mm) were connected to a root
pressure probe (page 657)</t>
        </r>
      </text>
    </comment>
    <comment ref="J187" authorId="0" shapeId="0" xr:uid="{EA4F3A8B-30E0-42EC-9478-386EF31C38B4}">
      <text>
        <r>
          <rPr>
            <b/>
            <sz val="9"/>
            <color indexed="81"/>
            <rFont val="Tahoma"/>
            <family val="2"/>
          </rPr>
          <t>Juan Baca:</t>
        </r>
        <r>
          <rPr>
            <sz val="9"/>
            <color indexed="81"/>
            <rFont val="Tahoma"/>
            <family val="2"/>
          </rPr>
          <t xml:space="preserve">
L. angustifolius plants grown for about 1 month in observation boxes (page 103)</t>
        </r>
      </text>
    </comment>
    <comment ref="W187" authorId="0" shapeId="0" xr:uid="{43F57346-CD77-488F-9E34-15C50C1B18F4}">
      <text>
        <r>
          <rPr>
            <b/>
            <sz val="9"/>
            <color indexed="81"/>
            <rFont val="Tahoma"/>
            <family val="2"/>
          </rPr>
          <t>Juan Baca:</t>
        </r>
        <r>
          <rPr>
            <sz val="9"/>
            <color indexed="81"/>
            <rFont val="Tahoma"/>
            <family val="2"/>
          </rPr>
          <t xml:space="preserve">
Lr was around 10)6 m s)1 MPa)1 with no clear variation along or between roots (page 103)</t>
        </r>
      </text>
    </comment>
    <comment ref="J188" authorId="0" shapeId="0" xr:uid="{EAB8B6BD-83FF-4626-94E6-A944F949A794}">
      <text>
        <r>
          <rPr>
            <b/>
            <sz val="9"/>
            <color indexed="81"/>
            <rFont val="Tahoma"/>
            <family val="2"/>
          </rPr>
          <t>Juan Baca:</t>
        </r>
        <r>
          <rPr>
            <sz val="9"/>
            <color indexed="81"/>
            <rFont val="Tahoma"/>
            <family val="2"/>
          </rPr>
          <t xml:space="preserve">
Seedlings, as experimental materials, with six leaves and one core and no culm, were grown for approximately 35 d, including germination time, prior to the measurement of
relevant parameters of wheat roots (page 304)</t>
        </r>
      </text>
    </comment>
    <comment ref="W188" authorId="0" shapeId="0" xr:uid="{3C135F32-1674-4F48-9250-A263A0752A55}">
      <text>
        <r>
          <rPr>
            <b/>
            <sz val="9"/>
            <color indexed="81"/>
            <rFont val="Tahoma"/>
            <family val="2"/>
          </rPr>
          <t>Juan Baca:</t>
        </r>
        <r>
          <rPr>
            <sz val="9"/>
            <color indexed="81"/>
            <rFont val="Tahoma"/>
            <family val="2"/>
          </rPr>
          <t xml:space="preserve">
Data from table 1  (Lpsr)</t>
        </r>
      </text>
    </comment>
    <comment ref="J194" authorId="0" shapeId="0" xr:uid="{9A3C055C-DA4A-4B0D-AB42-41DF361F12A5}">
      <text>
        <r>
          <rPr>
            <b/>
            <sz val="9"/>
            <color indexed="81"/>
            <rFont val="Tahoma"/>
            <family val="2"/>
          </rPr>
          <t>Juan Baca:</t>
        </r>
        <r>
          <rPr>
            <sz val="9"/>
            <color indexed="81"/>
            <rFont val="Tahoma"/>
            <family val="2"/>
          </rPr>
          <t xml:space="preserve">
After 45 d in wet soil, main roots arising from the stem were 300–350 mm long (page 220)</t>
        </r>
      </text>
    </comment>
    <comment ref="K194" authorId="0" shapeId="0" xr:uid="{746EA7E9-1417-48D7-B6D8-85F0FD3D003C}">
      <text>
        <r>
          <rPr>
            <b/>
            <sz val="9"/>
            <color indexed="81"/>
            <rFont val="Tahoma"/>
            <family val="2"/>
          </rPr>
          <t>Juan Baca:</t>
        </r>
        <r>
          <rPr>
            <sz val="9"/>
            <color indexed="81"/>
            <rFont val="Tahoma"/>
            <family val="2"/>
          </rPr>
          <t xml:space="preserve">
AQP inhibition achieved by applying HgCl2</t>
        </r>
      </text>
    </comment>
    <comment ref="T194" authorId="0" shapeId="0" xr:uid="{70718D40-3EBB-435A-9FDC-A61045306F20}">
      <text>
        <r>
          <rPr>
            <b/>
            <sz val="9"/>
            <color indexed="81"/>
            <rFont val="Tahoma"/>
            <family val="2"/>
          </rPr>
          <t>Juan Baca:</t>
        </r>
        <r>
          <rPr>
            <sz val="9"/>
            <color indexed="81"/>
            <rFont val="Tahoma"/>
            <family val="2"/>
          </rPr>
          <t xml:space="preserve">
defined as diistal = 80mm to tip, mid-root = 130-210 mm to the tip and basal = 10-90 mm from the base (page 220)</t>
        </r>
      </text>
    </comment>
    <comment ref="Z194" authorId="0" shapeId="0" xr:uid="{684CAB65-E284-4C5A-8333-BD7A480335BE}">
      <text>
        <r>
          <rPr>
            <b/>
            <sz val="9"/>
            <color indexed="81"/>
            <rFont val="Tahoma"/>
            <family val="2"/>
          </rPr>
          <t>Juan Baca:</t>
        </r>
        <r>
          <rPr>
            <sz val="9"/>
            <color indexed="81"/>
            <rFont val="Tahoma"/>
            <family val="2"/>
          </rPr>
          <t xml:space="preserve">
main roots arising  from the stem were 300–350 mm long and averaged 3.6 mm in diameter (page 220)</t>
        </r>
      </text>
    </comment>
    <comment ref="J212" authorId="0" shapeId="0" xr:uid="{705E076D-E05D-4B01-8ECC-DA05BF5DC347}">
      <text>
        <r>
          <rPr>
            <b/>
            <sz val="9"/>
            <color indexed="81"/>
            <rFont val="Tahoma"/>
            <family val="2"/>
          </rPr>
          <t>Juan Baca:</t>
        </r>
        <r>
          <rPr>
            <sz val="9"/>
            <color indexed="81"/>
            <rFont val="Tahoma"/>
            <family val="2"/>
          </rPr>
          <t xml:space="preserve">
Plants used in experiments were grown for 31–40 days (page 194)</t>
        </r>
      </text>
    </comment>
    <comment ref="T212" authorId="0" shapeId="0" xr:uid="{7744D87E-D2E5-46E5-BAED-7B34BDCD7BA5}">
      <text>
        <r>
          <rPr>
            <b/>
            <sz val="9"/>
            <color indexed="81"/>
            <rFont val="Tahoma"/>
            <family val="2"/>
          </rPr>
          <t>Juan Baca:</t>
        </r>
        <r>
          <rPr>
            <sz val="9"/>
            <color indexed="81"/>
            <rFont val="Tahoma"/>
            <family val="2"/>
          </rPr>
          <t xml:space="preserve">
excised end segments
of individual roots (i.e. tips intact) were tightly connected to a root
pressure probe (page 195)</t>
        </r>
      </text>
    </comment>
    <comment ref="W212" authorId="0" shapeId="0" xr:uid="{576C184E-6CC9-4116-A616-4FEA49FB0526}">
      <text>
        <r>
          <rPr>
            <b/>
            <sz val="9"/>
            <color indexed="81"/>
            <rFont val="Tahoma"/>
            <family val="2"/>
          </rPr>
          <t>Juan Baca:</t>
        </r>
        <r>
          <rPr>
            <sz val="9"/>
            <color indexed="81"/>
            <rFont val="Tahoma"/>
            <family val="2"/>
          </rPr>
          <t xml:space="preserve">
data from table 1</t>
        </r>
      </text>
    </comment>
    <comment ref="Y212" authorId="0" shapeId="0" xr:uid="{E334743B-D05E-4CA4-81CC-D4AF0589362C}">
      <text>
        <r>
          <rPr>
            <b/>
            <sz val="9"/>
            <color indexed="81"/>
            <rFont val="Tahoma"/>
            <family val="2"/>
          </rPr>
          <t>Juan Baca:</t>
        </r>
        <r>
          <rPr>
            <sz val="9"/>
            <color indexed="81"/>
            <rFont val="Tahoma"/>
            <family val="2"/>
          </rPr>
          <t xml:space="preserve">
Segments had lengths of 150–200 mm and diameters of 0.8–1.2 mm for Azucena or 0.6–1.0 mm for IR64 (page 195)</t>
        </r>
      </text>
    </comment>
    <comment ref="J216" authorId="0" shapeId="0" xr:uid="{0B9E7338-A9E5-4D92-BC13-51516AE669AB}">
      <text>
        <r>
          <rPr>
            <b/>
            <sz val="9"/>
            <color indexed="81"/>
            <rFont val="Tahoma"/>
            <family val="2"/>
          </rPr>
          <t>Juan Baca:</t>
        </r>
        <r>
          <rPr>
            <sz val="9"/>
            <color indexed="81"/>
            <rFont val="Tahoma"/>
            <family val="2"/>
          </rPr>
          <t xml:space="preserve">
The experiments were carried out with intact roots of three to five-dayold seedlings (page 370)</t>
        </r>
      </text>
    </comment>
    <comment ref="W216" authorId="0" shapeId="0" xr:uid="{1C18A8E5-F5B7-4E94-96A0-BF5D7D123666}">
      <text>
        <r>
          <rPr>
            <b/>
            <sz val="9"/>
            <color indexed="81"/>
            <rFont val="Tahoma"/>
            <family val="2"/>
          </rPr>
          <t>Juan Baca:</t>
        </r>
        <r>
          <rPr>
            <sz val="9"/>
            <color indexed="81"/>
            <rFont val="Tahoma"/>
            <family val="2"/>
          </rPr>
          <t xml:space="preserve">
data from table 1 (page 373)</t>
        </r>
      </text>
    </comment>
    <comment ref="Y216" authorId="0" shapeId="0" xr:uid="{9A54800B-5886-477A-B09F-3CDDCDE676E4}">
      <text>
        <r>
          <rPr>
            <b/>
            <sz val="9"/>
            <color indexed="81"/>
            <rFont val="Tahoma"/>
            <family val="2"/>
          </rPr>
          <t>Juan Baca:</t>
        </r>
        <r>
          <rPr>
            <sz val="9"/>
            <color indexed="81"/>
            <rFont val="Tahoma"/>
            <family val="2"/>
          </rPr>
          <t xml:space="preserve">
The root length was 3–6 cm (page 370)</t>
        </r>
      </text>
    </comment>
    <comment ref="J220" authorId="0" shapeId="0" xr:uid="{69B7140F-3B47-4915-A0F9-295D56255507}">
      <text>
        <r>
          <rPr>
            <b/>
            <sz val="9"/>
            <color indexed="81"/>
            <rFont val="Tahoma"/>
            <family val="2"/>
          </rPr>
          <t>Juan Baca:</t>
        </r>
        <r>
          <rPr>
            <sz val="9"/>
            <color indexed="81"/>
            <rFont val="Tahoma"/>
            <family val="2"/>
          </rPr>
          <t xml:space="preserve">
Plants used in experiments were grown for 31–40 d including the time for
germination (page 1836)</t>
        </r>
      </text>
    </comment>
    <comment ref="T220" authorId="0" shapeId="0" xr:uid="{45DCA08D-C18C-4A8D-AFA9-37AB34FD8DEB}">
      <text>
        <r>
          <rPr>
            <b/>
            <sz val="9"/>
            <color indexed="81"/>
            <rFont val="Tahoma"/>
            <family val="2"/>
          </rPr>
          <t>Juan Baca:</t>
        </r>
        <r>
          <rPr>
            <sz val="9"/>
            <color indexed="81"/>
            <rFont val="Tahoma"/>
            <family val="2"/>
          </rPr>
          <t xml:space="preserve">
excised end segments of individual roots (root tips)
were tightly connected to a root pressure probe (page 1838)</t>
        </r>
      </text>
    </comment>
    <comment ref="W220" authorId="0" shapeId="0" xr:uid="{7F9BA07F-3ABA-46AA-BA00-7BB27980443A}">
      <text>
        <r>
          <rPr>
            <b/>
            <sz val="9"/>
            <color indexed="81"/>
            <rFont val="Tahoma"/>
            <family val="2"/>
          </rPr>
          <t>Juan Baca:</t>
        </r>
        <r>
          <rPr>
            <sz val="9"/>
            <color indexed="81"/>
            <rFont val="Tahoma"/>
            <family val="2"/>
          </rPr>
          <t xml:space="preserve">
data from table 2</t>
        </r>
      </text>
    </comment>
    <comment ref="Y220" authorId="0" shapeId="0" xr:uid="{A2B720EB-302B-4795-A383-15720ED3B4AD}">
      <text>
        <r>
          <rPr>
            <b/>
            <sz val="9"/>
            <color indexed="81"/>
            <rFont val="Tahoma"/>
            <family val="2"/>
          </rPr>
          <t>Juan Baca:</t>
        </r>
        <r>
          <rPr>
            <sz val="9"/>
            <color indexed="81"/>
            <rFont val="Tahoma"/>
            <family val="2"/>
          </rPr>
          <t xml:space="preserve">
Segments had lengths of 125–235 mm and diameters of 0.7–1.2 mm for Azucena or 0.5–0.9 mm for IR64 (page 1838)</t>
        </r>
      </text>
    </comment>
    <comment ref="J228" authorId="0" shapeId="0" xr:uid="{650C2B71-FDDE-45A3-952A-399FEE3D6C34}">
      <text>
        <r>
          <rPr>
            <b/>
            <sz val="9"/>
            <color indexed="81"/>
            <rFont val="Tahoma"/>
            <family val="2"/>
          </rPr>
          <t>Juan Baca:</t>
        </r>
        <r>
          <rPr>
            <sz val="9"/>
            <color indexed="81"/>
            <rFont val="Tahoma"/>
            <family val="2"/>
          </rPr>
          <t xml:space="preserve">
New roots arising from the stem or from old woody
roots were 250 to 300 mm long and averaged 1.8 mm in diameter after 30 d in wet soil (page 359) + 45 days soil drying</t>
        </r>
      </text>
    </comment>
    <comment ref="K228" authorId="0" shapeId="0" xr:uid="{2509F725-699B-4FA7-A8BC-273B50B44936}">
      <text>
        <r>
          <rPr>
            <b/>
            <sz val="9"/>
            <color indexed="81"/>
            <rFont val="Tahoma"/>
            <family val="2"/>
          </rPr>
          <t>Juan Baca:</t>
        </r>
        <r>
          <rPr>
            <sz val="9"/>
            <color indexed="81"/>
            <rFont val="Tahoma"/>
            <family val="2"/>
          </rPr>
          <t xml:space="preserve">
AQP inhibition achieved by applying HgCl2</t>
        </r>
      </text>
    </comment>
    <comment ref="T228" authorId="0" shapeId="0" xr:uid="{5F09C2DC-E229-4F07-B513-073632E3E814}">
      <text>
        <r>
          <rPr>
            <b/>
            <sz val="9"/>
            <color indexed="81"/>
            <rFont val="Tahoma"/>
            <family val="2"/>
          </rPr>
          <t>Juan Baca:</t>
        </r>
        <r>
          <rPr>
            <sz val="9"/>
            <color indexed="81"/>
            <rFont val="Tahoma"/>
            <family val="2"/>
          </rPr>
          <t xml:space="preserve">
distal, from the tip to 80 mm back; and mid-root, from 120 to 200 mm back from the tip (page 359)</t>
        </r>
      </text>
    </comment>
    <comment ref="Y228" authorId="0" shapeId="0" xr:uid="{4FD46767-1915-459A-B4B1-3A6D84224DA8}">
      <text>
        <r>
          <rPr>
            <b/>
            <sz val="9"/>
            <color indexed="81"/>
            <rFont val="Tahoma"/>
            <family val="2"/>
          </rPr>
          <t>Juan Baca:</t>
        </r>
        <r>
          <rPr>
            <sz val="9"/>
            <color indexed="81"/>
            <rFont val="Tahoma"/>
            <family val="2"/>
          </rPr>
          <t xml:space="preserve">
 was measured on individual distal and mid-root regions that were 60 to 80 mm long (page 359)</t>
        </r>
      </text>
    </comment>
    <comment ref="Z228" authorId="0" shapeId="0" xr:uid="{D3710B5C-1883-4AA8-9094-AE3EC8408A74}">
      <text>
        <r>
          <rPr>
            <b/>
            <sz val="9"/>
            <color indexed="81"/>
            <rFont val="Tahoma"/>
            <family val="2"/>
          </rPr>
          <t>Juan Baca:</t>
        </r>
        <r>
          <rPr>
            <sz val="9"/>
            <color indexed="81"/>
            <rFont val="Tahoma"/>
            <family val="2"/>
          </rPr>
          <t xml:space="preserve">
New roots arising from the stem or from old woody roots were 250 to 300 mm long and averaged 1.8 mm in
diameter (page 359)</t>
        </r>
      </text>
    </comment>
    <comment ref="J240" authorId="0" shapeId="0" xr:uid="{A87CEFC4-674F-4E96-A8E3-AEB732A2F82E}">
      <text>
        <r>
          <rPr>
            <b/>
            <sz val="9"/>
            <color indexed="81"/>
            <rFont val="Tahoma"/>
            <family val="2"/>
          </rPr>
          <t>Juan Baca:</t>
        </r>
        <r>
          <rPr>
            <sz val="9"/>
            <color indexed="81"/>
            <rFont val="Tahoma"/>
            <family val="2"/>
          </rPr>
          <t xml:space="preserve">
age data included in table 1</t>
        </r>
      </text>
    </comment>
    <comment ref="T240" authorId="0" shapeId="0" xr:uid="{B4F77BD9-98C9-419B-AC97-CF976747067A}">
      <text>
        <r>
          <rPr>
            <b/>
            <sz val="9"/>
            <color indexed="81"/>
            <rFont val="Tahoma"/>
            <family val="2"/>
          </rPr>
          <t>Juan Baca:</t>
        </r>
        <r>
          <rPr>
            <sz val="9"/>
            <color indexed="81"/>
            <rFont val="Tahoma"/>
            <family val="2"/>
          </rPr>
          <t xml:space="preserve">
The younger half (zone I) had no visible lateral roots. It ranged from the root tip to the middle of the root (up to 122– 187 mm) (page 304)</t>
        </r>
      </text>
    </comment>
    <comment ref="W240" authorId="0" shapeId="0" xr:uid="{98D8A9AF-DD22-4AAD-96EA-FD2B3C4AE47B}">
      <text>
        <r>
          <rPr>
            <b/>
            <sz val="9"/>
            <color indexed="81"/>
            <rFont val="Tahoma"/>
            <family val="2"/>
          </rPr>
          <t>Juan Baca:</t>
        </r>
        <r>
          <rPr>
            <sz val="9"/>
            <color indexed="81"/>
            <rFont val="Tahoma"/>
            <family val="2"/>
          </rPr>
          <t xml:space="preserve">
all data from table 1</t>
        </r>
      </text>
    </comment>
    <comment ref="J252" authorId="0" shapeId="0" xr:uid="{19FC1E33-9C74-42F2-BB16-657B45C71FA8}">
      <text>
        <r>
          <rPr>
            <b/>
            <sz val="9"/>
            <color indexed="81"/>
            <rFont val="Tahoma"/>
            <family val="2"/>
          </rPr>
          <t>Juan Baca:</t>
        </r>
        <r>
          <rPr>
            <sz val="9"/>
            <color indexed="81"/>
            <rFont val="Tahoma"/>
            <family val="2"/>
          </rPr>
          <t xml:space="preserve">
root age as estimated from length and growth rates
determined previously (North and Nobel, 1998) ranged from approx. 1–5–2–5 months (page 248) + 45 days of drought</t>
        </r>
      </text>
    </comment>
    <comment ref="K252" authorId="0" shapeId="0" xr:uid="{BA33A691-853A-4921-BFC4-6CB9321F910B}">
      <text>
        <r>
          <rPr>
            <b/>
            <sz val="9"/>
            <color indexed="81"/>
            <rFont val="Tahoma"/>
            <family val="2"/>
          </rPr>
          <t>Juan Baca:</t>
        </r>
        <r>
          <rPr>
            <sz val="9"/>
            <color indexed="81"/>
            <rFont val="Tahoma"/>
            <family val="2"/>
          </rPr>
          <t xml:space="preserve">
AQP inhibition achieved by applying HgCl2</t>
        </r>
      </text>
    </comment>
    <comment ref="Y252" authorId="0" shapeId="0" xr:uid="{25C0E1CC-8B58-4CD9-9FA9-4B860944F4C5}">
      <text>
        <r>
          <rPr>
            <b/>
            <sz val="9"/>
            <color indexed="81"/>
            <rFont val="Tahoma"/>
            <family val="2"/>
          </rPr>
          <t>Juan Baca:</t>
        </r>
        <r>
          <rPr>
            <sz val="9"/>
            <color indexed="81"/>
            <rFont val="Tahoma"/>
            <family val="2"/>
          </rPr>
          <t xml:space="preserve">
Segments were trimmed to 70 mm under water with a razor blade (page 249)</t>
        </r>
      </text>
    </comment>
    <comment ref="J256" authorId="0" shapeId="0" xr:uid="{9561490B-65AB-472A-B5FF-9F263D5D2E14}">
      <text>
        <r>
          <rPr>
            <b/>
            <sz val="9"/>
            <color indexed="81"/>
            <rFont val="Tahoma"/>
            <family val="2"/>
          </rPr>
          <t>Juan Baca:</t>
        </r>
        <r>
          <rPr>
            <sz val="9"/>
            <color indexed="81"/>
            <rFont val="Tahoma"/>
            <family val="2"/>
          </rPr>
          <t xml:space="preserve">
Roots were 15–17 mm long after 9–10 d of culture when they were taken for experiments</t>
        </r>
      </text>
    </comment>
    <comment ref="K256" authorId="0" shapeId="0" xr:uid="{D660D59E-1B51-4FB8-A10E-E1B184C16C09}">
      <text>
        <r>
          <rPr>
            <b/>
            <sz val="9"/>
            <color indexed="81"/>
            <rFont val="Tahoma"/>
            <family val="2"/>
          </rPr>
          <t>Juan Baca:</t>
        </r>
        <r>
          <rPr>
            <sz val="9"/>
            <color indexed="81"/>
            <rFont val="Tahoma"/>
            <family val="2"/>
          </rPr>
          <t xml:space="preserve">
AQP inhibition achieved by applying HgCl2</t>
        </r>
      </text>
    </comment>
    <comment ref="J262" authorId="0" shapeId="0" xr:uid="{49A04541-38D1-4C97-919D-7D816B667731}">
      <text>
        <r>
          <rPr>
            <b/>
            <sz val="9"/>
            <color indexed="81"/>
            <rFont val="Tahoma"/>
            <family val="2"/>
          </rPr>
          <t>Juan Baca:</t>
        </r>
        <r>
          <rPr>
            <sz val="9"/>
            <color indexed="81"/>
            <rFont val="Tahoma"/>
            <family val="2"/>
          </rPr>
          <t xml:space="preserve">
Primary roots (i.e. the radicle) of 6–7 day old plants were used in all experiments. (page 746 of accompanying publication)</t>
        </r>
      </text>
    </comment>
    <comment ref="W262" authorId="0" shapeId="0" xr:uid="{FC409A74-F6B2-4C5E-BA00-1F876BC1AEB4}">
      <text>
        <r>
          <rPr>
            <b/>
            <sz val="9"/>
            <color indexed="81"/>
            <rFont val="Tahoma"/>
            <family val="2"/>
          </rPr>
          <t>Juan Baca:</t>
        </r>
        <r>
          <rPr>
            <sz val="9"/>
            <color indexed="81"/>
            <rFont val="Tahoma"/>
            <family val="2"/>
          </rPr>
          <t xml:space="preserve">
data from table 1
</t>
        </r>
      </text>
    </comment>
    <comment ref="Y262" authorId="0" shapeId="0" xr:uid="{A90F7097-687E-4D51-BA8E-CF71BA7F4EA5}">
      <text>
        <r>
          <rPr>
            <b/>
            <sz val="9"/>
            <color indexed="81"/>
            <rFont val="Tahoma"/>
            <family val="2"/>
          </rPr>
          <t>Juan Baca:</t>
        </r>
        <r>
          <rPr>
            <sz val="9"/>
            <color indexed="81"/>
            <rFont val="Tahoma"/>
            <family val="2"/>
          </rPr>
          <t xml:space="preserve">
Data are from four experiments with primary roots between 95–151 mm long. (legend table 1)</t>
        </r>
      </text>
    </comment>
    <comment ref="W270" authorId="0" shapeId="0" xr:uid="{01418E0A-5283-42F6-A579-6E985010AA55}">
      <text>
        <r>
          <rPr>
            <b/>
            <sz val="9"/>
            <color indexed="81"/>
            <rFont val="Tahoma"/>
            <family val="2"/>
          </rPr>
          <t>Juan Baca:</t>
        </r>
        <r>
          <rPr>
            <sz val="9"/>
            <color indexed="81"/>
            <rFont val="Tahoma"/>
            <family val="2"/>
          </rPr>
          <t xml:space="preserve">
data from table 2</t>
        </r>
      </text>
    </comment>
    <comment ref="W271" authorId="0" shapeId="0" xr:uid="{EFC16BAF-D726-4334-AA3F-4151AE5774D1}">
      <text>
        <r>
          <rPr>
            <b/>
            <sz val="9"/>
            <color indexed="81"/>
            <rFont val="Tahoma"/>
            <family val="2"/>
          </rPr>
          <t>Juan Baca:</t>
        </r>
        <r>
          <rPr>
            <sz val="9"/>
            <color indexed="81"/>
            <rFont val="Tahoma"/>
            <family val="2"/>
          </rPr>
          <t xml:space="preserve">
data from table 2</t>
        </r>
      </text>
    </comment>
    <comment ref="J272" authorId="0" shapeId="0" xr:uid="{808F3677-C072-4B2B-A311-184D3C9DB830}">
      <text>
        <r>
          <rPr>
            <b/>
            <sz val="9"/>
            <color indexed="81"/>
            <rFont val="Tahoma"/>
            <family val="2"/>
          </rPr>
          <t>Juan Baca:</t>
        </r>
        <r>
          <rPr>
            <sz val="9"/>
            <color indexed="81"/>
            <rFont val="Tahoma"/>
            <family val="2"/>
          </rPr>
          <t xml:space="preserve">
14 d of growth of cladodes + 7 or 14 day of soil drying + 4 days of rewetting</t>
        </r>
      </text>
    </comment>
    <comment ref="T272" authorId="0" shapeId="0" xr:uid="{F8CB5B0F-5E9A-4D5C-963C-6401446F6BFD}">
      <text>
        <r>
          <rPr>
            <b/>
            <sz val="9"/>
            <color indexed="81"/>
            <rFont val="Tahoma"/>
            <family val="2"/>
          </rPr>
          <t>Juan Baca:</t>
        </r>
        <r>
          <rPr>
            <sz val="9"/>
            <color indexed="81"/>
            <rFont val="Tahoma"/>
            <family val="2"/>
          </rPr>
          <t xml:space="preserve">
and then cut with a razor blade to produce apical segments 50 mm long that included the root tip. (page 77)</t>
        </r>
      </text>
    </comment>
    <comment ref="Y272" authorId="0" shapeId="0" xr:uid="{080419D9-E035-46C8-9BFD-EEB2292E572E}">
      <text>
        <r>
          <rPr>
            <b/>
            <sz val="9"/>
            <color indexed="81"/>
            <rFont val="Tahoma"/>
            <family val="2"/>
          </rPr>
          <t>Juan Baca:</t>
        </r>
        <r>
          <rPr>
            <sz val="9"/>
            <color indexed="81"/>
            <rFont val="Tahoma"/>
            <family val="2"/>
          </rPr>
          <t xml:space="preserve">
with a razor blade to produce apical segments
50 mm long that included the root tip (page 77)</t>
        </r>
      </text>
    </comment>
    <comment ref="J275" authorId="0" shapeId="0" xr:uid="{66AB2B7A-F7CA-4644-9F51-EA51CF75F3CA}">
      <text>
        <r>
          <rPr>
            <b/>
            <sz val="9"/>
            <color indexed="81"/>
            <rFont val="Tahoma"/>
            <family val="2"/>
          </rPr>
          <t>Juan Baca:</t>
        </r>
        <r>
          <rPr>
            <sz val="9"/>
            <color indexed="81"/>
            <rFont val="Tahoma"/>
            <family val="2"/>
          </rPr>
          <t xml:space="preserve">
Germinated seeds were
cultured under aeration in darkness for 4-5 days (page 436) + 1 day germination</t>
        </r>
      </text>
    </comment>
    <comment ref="K275" authorId="0" shapeId="0" xr:uid="{81B0CD36-F9BB-478D-999B-B2B36FA2F59C}">
      <text>
        <r>
          <rPr>
            <b/>
            <sz val="9"/>
            <color indexed="81"/>
            <rFont val="Tahoma"/>
            <family val="2"/>
          </rPr>
          <t>Juan Baca:</t>
        </r>
        <r>
          <rPr>
            <sz val="9"/>
            <color indexed="81"/>
            <rFont val="Tahoma"/>
            <family val="2"/>
          </rPr>
          <t xml:space="preserve">
AQP inhibition achieved by applying HgCL2; with infiltration is meant pressurizing water though the roots (so sort of hydrostatic pressure)</t>
        </r>
      </text>
    </comment>
    <comment ref="T275" authorId="0" shapeId="0" xr:uid="{FA2D1834-31E2-4BF0-B4FC-692CFC7C5916}">
      <text>
        <r>
          <rPr>
            <b/>
            <sz val="9"/>
            <color indexed="81"/>
            <rFont val="Tahoma"/>
            <family val="2"/>
          </rPr>
          <t>Juan Baca:</t>
        </r>
        <r>
          <rPr>
            <sz val="9"/>
            <color indexed="81"/>
            <rFont val="Tahoma"/>
            <family val="2"/>
          </rPr>
          <t xml:space="preserve">
the main resistance to transroot
osmosis under the present experimental condition is
assumed to be offered by the apical part in A (page 436)</t>
        </r>
      </text>
    </comment>
    <comment ref="W275" authorId="0" shapeId="0" xr:uid="{DBDEF6E9-F0B0-4467-8E6C-FEB93C8CE6FE}">
      <text>
        <r>
          <rPr>
            <b/>
            <sz val="9"/>
            <color indexed="81"/>
            <rFont val="Tahoma"/>
            <family val="2"/>
          </rPr>
          <t>Juan Baca:</t>
        </r>
        <r>
          <rPr>
            <sz val="9"/>
            <color indexed="81"/>
            <rFont val="Tahoma"/>
            <family val="2"/>
          </rPr>
          <t xml:space="preserve">
data from table 3</t>
        </r>
      </text>
    </comment>
    <comment ref="J279" authorId="0" shapeId="0" xr:uid="{A1E5740F-BED5-45A6-AD8D-AC8F3A264AB6}">
      <text>
        <r>
          <rPr>
            <b/>
            <sz val="9"/>
            <color indexed="81"/>
            <rFont val="Tahoma"/>
            <family val="2"/>
          </rPr>
          <t>Juan Baca:</t>
        </r>
        <r>
          <rPr>
            <sz val="9"/>
            <color indexed="81"/>
            <rFont val="Tahoma"/>
            <family val="2"/>
          </rPr>
          <t xml:space="preserve">
These roots were allowed to grow for a further 7 d, and the plants were then
transferred to treatment solutions and exposed for 24 h to pH 6.0 or 4.5 or to pH 4.5 plus 50 p~ Al (page 596) </t>
        </r>
      </text>
    </comment>
    <comment ref="W279" authorId="0" shapeId="0" xr:uid="{C3477500-92F5-47BD-A050-BE015A2017E2}">
      <text>
        <r>
          <rPr>
            <b/>
            <sz val="9"/>
            <color indexed="81"/>
            <rFont val="Tahoma"/>
            <family val="2"/>
          </rPr>
          <t>Juan Baca:</t>
        </r>
        <r>
          <rPr>
            <sz val="9"/>
            <color indexed="81"/>
            <rFont val="Tahoma"/>
            <family val="2"/>
          </rPr>
          <t xml:space="preserve">
data from table 1 (exosmotic experiiments)</t>
        </r>
      </text>
    </comment>
    <comment ref="J285" authorId="0" shapeId="0" xr:uid="{EABBC004-8D01-4599-8C23-2F5DB5E8540B}">
      <text>
        <r>
          <rPr>
            <b/>
            <sz val="9"/>
            <color indexed="81"/>
            <rFont val="Tahoma"/>
            <family val="2"/>
          </rPr>
          <t>Juan Baca:</t>
        </r>
        <r>
          <rPr>
            <sz val="9"/>
            <color indexed="81"/>
            <rFont val="Tahoma"/>
            <family val="2"/>
          </rPr>
          <t xml:space="preserve">
Little further elongation occurred in wet or drying soil due to the natural death of most main root tips about 40 d after
initiation</t>
        </r>
      </text>
    </comment>
    <comment ref="S285" authorId="0" shapeId="0" xr:uid="{55763FD1-7DAC-4B8C-854F-722F65260541}">
      <text>
        <r>
          <rPr>
            <b/>
            <sz val="9"/>
            <color indexed="81"/>
            <rFont val="Tahoma"/>
            <family val="2"/>
          </rPr>
          <t>Juan Baca:</t>
        </r>
        <r>
          <rPr>
            <sz val="9"/>
            <color indexed="81"/>
            <rFont val="Tahoma"/>
            <family val="2"/>
          </rPr>
          <t xml:space="preserve">
Two regions of main roots and of first-order lateral roots were examined (page 134)</t>
        </r>
      </text>
    </comment>
    <comment ref="J293" authorId="0" shapeId="0" xr:uid="{2CAB8182-162E-4FDE-9CA1-488293064510}">
      <text>
        <r>
          <rPr>
            <b/>
            <sz val="9"/>
            <color indexed="81"/>
            <rFont val="Tahoma"/>
            <family val="2"/>
          </rPr>
          <t>Juan Baca:</t>
        </r>
        <r>
          <rPr>
            <sz val="9"/>
            <color indexed="81"/>
            <rFont val="Tahoma"/>
            <family val="2"/>
          </rPr>
          <t xml:space="preserve">
 except that, in the present study, we
used plants which were 10-14 d old and had already developed
laterals (page 350)</t>
        </r>
      </text>
    </comment>
    <comment ref="J296" authorId="0" shapeId="0" xr:uid="{B3D53378-0C8B-4330-B560-5C265389362A}">
      <text>
        <r>
          <rPr>
            <b/>
            <sz val="9"/>
            <color indexed="81"/>
            <rFont val="Tahoma"/>
            <family val="2"/>
          </rPr>
          <t>Juan Baca:</t>
        </r>
        <r>
          <rPr>
            <sz val="9"/>
            <color indexed="81"/>
            <rFont val="Tahoma"/>
            <family val="2"/>
          </rPr>
          <t xml:space="preserve">
 except that, in the present study, we
used plants which were 10-14 d old and had already developed
laterals (page 350)</t>
        </r>
      </text>
    </comment>
    <comment ref="J299" authorId="0" shapeId="0" xr:uid="{69D42E61-8A6A-4443-89F6-D781DF2C106E}">
      <text>
        <r>
          <rPr>
            <b/>
            <sz val="9"/>
            <color indexed="81"/>
            <rFont val="Tahoma"/>
            <family val="2"/>
          </rPr>
          <t>Juan Baca:</t>
        </r>
        <r>
          <rPr>
            <sz val="9"/>
            <color indexed="81"/>
            <rFont val="Tahoma"/>
            <family val="2"/>
          </rPr>
          <t xml:space="preserve">
Plants were 7 to 14 d old when used in experiments (page 336)</t>
        </r>
      </text>
    </comment>
    <comment ref="W299" authorId="0" shapeId="0" xr:uid="{652DB9E7-EDA5-48A2-A99C-5E173E7EBFA2}">
      <text>
        <r>
          <rPr>
            <b/>
            <sz val="9"/>
            <color indexed="81"/>
            <rFont val="Tahoma"/>
            <family val="2"/>
          </rPr>
          <t>Juan Baca:</t>
        </r>
        <r>
          <rPr>
            <sz val="9"/>
            <color indexed="81"/>
            <rFont val="Tahoma"/>
            <family val="2"/>
          </rPr>
          <t xml:space="preserve">
data from table 3</t>
        </r>
      </text>
    </comment>
    <comment ref="Y299" authorId="0" shapeId="0" xr:uid="{109C3649-F0A5-463D-AACE-611C9E892528}">
      <text>
        <r>
          <rPr>
            <b/>
            <sz val="9"/>
            <color indexed="81"/>
            <rFont val="Tahoma"/>
            <family val="2"/>
          </rPr>
          <t>Juan Baca:</t>
        </r>
        <r>
          <rPr>
            <sz val="9"/>
            <color indexed="81"/>
            <rFont val="Tahoma"/>
            <family val="2"/>
          </rPr>
          <t xml:space="preserve">
Roots were excised under water near the kernel to obtain an unbranched segment of primary root 89 to 174 mm long (diameter: 0.78-1.28 mm). </t>
        </r>
      </text>
    </comment>
    <comment ref="J311" authorId="0" shapeId="0" xr:uid="{D61A9845-CDC4-4938-AB5E-A1A2E98EABE2}">
      <text>
        <r>
          <rPr>
            <b/>
            <sz val="9"/>
            <color indexed="81"/>
            <rFont val="Tahoma"/>
            <family val="2"/>
          </rPr>
          <t>Juan Baca:</t>
        </r>
        <r>
          <rPr>
            <sz val="9"/>
            <color indexed="81"/>
            <rFont val="Tahoma"/>
            <family val="2"/>
          </rPr>
          <t xml:space="preserve">
described in Steudle et al (1993) (page 336)</t>
        </r>
      </text>
    </comment>
    <comment ref="W311" authorId="0" shapeId="0" xr:uid="{9BD23955-ADCF-44BF-A7E6-82F532D47D92}">
      <text>
        <r>
          <rPr>
            <b/>
            <sz val="9"/>
            <color indexed="81"/>
            <rFont val="Tahoma"/>
            <family val="2"/>
          </rPr>
          <t>Juan Baca:</t>
        </r>
        <r>
          <rPr>
            <sz val="9"/>
            <color indexed="81"/>
            <rFont val="Tahoma"/>
            <family val="2"/>
          </rPr>
          <t xml:space="preserve">
data from text (page 129)</t>
        </r>
      </text>
    </comment>
    <comment ref="Y311" authorId="0" shapeId="0" xr:uid="{51EC654C-9BA3-4C2E-AA25-4CAC1C7586DF}">
      <text>
        <r>
          <rPr>
            <b/>
            <sz val="9"/>
            <color indexed="81"/>
            <rFont val="Tahoma"/>
            <family val="2"/>
          </rPr>
          <t>Juan Baca:</t>
        </r>
        <r>
          <rPr>
            <sz val="9"/>
            <color indexed="81"/>
            <rFont val="Tahoma"/>
            <family val="2"/>
          </rPr>
          <t xml:space="preserve">
morpholgical data from table 1</t>
        </r>
      </text>
    </comment>
    <comment ref="J313" authorId="0" shapeId="0" xr:uid="{0C6467E7-3C3B-4CB7-8F73-1A8E48D550EB}">
      <text>
        <r>
          <rPr>
            <b/>
            <sz val="9"/>
            <color indexed="81"/>
            <rFont val="Tahoma"/>
            <family val="2"/>
          </rPr>
          <t>Juan Baca:</t>
        </r>
        <r>
          <rPr>
            <sz val="9"/>
            <color indexed="81"/>
            <rFont val="Tahoma"/>
            <family val="2"/>
          </rPr>
          <t xml:space="preserve">
age from table 5</t>
        </r>
      </text>
    </comment>
    <comment ref="S313" authorId="0" shapeId="0" xr:uid="{FCFA9BBF-9E92-4AD8-A8EE-F2139713AD3F}">
      <text>
        <r>
          <rPr>
            <b/>
            <sz val="9"/>
            <color indexed="81"/>
            <rFont val="Tahoma"/>
            <family val="2"/>
          </rPr>
          <t>Juan Baca:</t>
        </r>
        <r>
          <rPr>
            <sz val="9"/>
            <color indexed="81"/>
            <rFont val="Tahoma"/>
            <family val="2"/>
          </rPr>
          <t xml:space="preserve">
for lateral root: age = 14 -&gt; distal; age = 42 -&gt; basal</t>
        </r>
      </text>
    </comment>
    <comment ref="T313" authorId="0" shapeId="0" xr:uid="{6D4A4777-2CF7-4D07-82CF-D2DE983BD130}">
      <text>
        <r>
          <rPr>
            <b/>
            <sz val="9"/>
            <color indexed="81"/>
            <rFont val="Tahoma"/>
            <family val="2"/>
          </rPr>
          <t>Juan Baca:</t>
        </r>
        <r>
          <rPr>
            <sz val="9"/>
            <color indexed="81"/>
            <rFont val="Tahoma"/>
            <family val="2"/>
          </rPr>
          <t xml:space="preserve">
for lateral root: age = 14 -&gt; distal; age = 42 -&gt; basal
for main roots: distal &lt;15, mid-roots &lt; 57 and distal &gt; 56</t>
        </r>
      </text>
    </comment>
    <comment ref="W313" authorId="0" shapeId="0" xr:uid="{C2304B44-522C-4706-82D5-E90217D822DB}">
      <text>
        <r>
          <rPr>
            <b/>
            <sz val="9"/>
            <color indexed="81"/>
            <rFont val="Tahoma"/>
            <family val="2"/>
          </rPr>
          <t>Juan Baca:</t>
        </r>
        <r>
          <rPr>
            <sz val="9"/>
            <color indexed="81"/>
            <rFont val="Tahoma"/>
            <family val="2"/>
          </rPr>
          <t xml:space="preserve">
data for lateral roots from table 5</t>
        </r>
      </text>
    </comment>
    <comment ref="Z313" authorId="0" shapeId="0" xr:uid="{7463A5AD-7A74-42C2-9733-33CD151BAE6A}">
      <text>
        <r>
          <rPr>
            <b/>
            <sz val="9"/>
            <color indexed="81"/>
            <rFont val="Tahoma"/>
            <family val="2"/>
          </rPr>
          <t>Juan Baca:</t>
        </r>
        <r>
          <rPr>
            <sz val="9"/>
            <color indexed="81"/>
            <rFont val="Tahoma"/>
            <family val="2"/>
          </rPr>
          <t xml:space="preserve">
data from table 3 -&gt; these are actually average diameters of different root classes in 6 year old plants</t>
        </r>
      </text>
    </comment>
    <comment ref="J331" authorId="0" shapeId="0" xr:uid="{66F653A8-05D2-497C-8397-4D2F0F741A65}">
      <text>
        <r>
          <rPr>
            <b/>
            <sz val="9"/>
            <color indexed="81"/>
            <rFont val="Tahoma"/>
            <family val="2"/>
          </rPr>
          <t>Juan Baca:</t>
        </r>
        <r>
          <rPr>
            <sz val="9"/>
            <color indexed="81"/>
            <rFont val="Tahoma"/>
            <family val="2"/>
          </rPr>
          <t xml:space="preserve">
age from table 5</t>
        </r>
      </text>
    </comment>
    <comment ref="Z331" authorId="0" shapeId="0" xr:uid="{A05EFF61-A220-45BA-B9A5-9625FB2CEF3C}">
      <text>
        <r>
          <rPr>
            <b/>
            <sz val="9"/>
            <color indexed="81"/>
            <rFont val="Tahoma"/>
            <family val="2"/>
          </rPr>
          <t>Juan Baca:</t>
        </r>
        <r>
          <rPr>
            <sz val="9"/>
            <color indexed="81"/>
            <rFont val="Tahoma"/>
            <family val="2"/>
          </rPr>
          <t xml:space="preserve">
data from table 3 -&gt; these are actually average diameters of different root classes in 6 year old plants</t>
        </r>
      </text>
    </comment>
    <comment ref="J349" authorId="0" shapeId="0" xr:uid="{37CBCD4B-DE53-456D-B354-B5BF4755CD0F}">
      <text>
        <r>
          <rPr>
            <b/>
            <sz val="9"/>
            <color indexed="81"/>
            <rFont val="Tahoma"/>
            <family val="2"/>
          </rPr>
          <t>Juan Baca:</t>
        </r>
        <r>
          <rPr>
            <sz val="9"/>
            <color indexed="81"/>
            <rFont val="Tahoma"/>
            <family val="2"/>
          </rPr>
          <t xml:space="preserve">
After 6 to 22 d in hydroculture, roots were 140 to 510 mm in length (page 1306) + 3d growth in vermiculite</t>
        </r>
      </text>
    </comment>
    <comment ref="T349" authorId="0" shapeId="0" xr:uid="{F0EAE3FB-D436-4C8C-9EBC-48B2DB056E66}">
      <text>
        <r>
          <rPr>
            <b/>
            <sz val="9"/>
            <color indexed="81"/>
            <rFont val="Tahoma"/>
            <family val="2"/>
          </rPr>
          <t>Juan Baca:</t>
        </r>
        <r>
          <rPr>
            <sz val="9"/>
            <color indexed="81"/>
            <rFont val="Tahoma"/>
            <family val="2"/>
          </rPr>
          <t xml:space="preserve">
arbitrarily defined as distance to tip &lt;15 cm, &lt;25cm and &gt; 25cm </t>
        </r>
      </text>
    </comment>
    <comment ref="J352" authorId="0" shapeId="0" xr:uid="{8154B732-DB3B-45A0-90CD-F7721BD7A10A}">
      <text>
        <r>
          <rPr>
            <b/>
            <sz val="9"/>
            <color indexed="81"/>
            <rFont val="Tahoma"/>
            <family val="2"/>
          </rPr>
          <t>Juan Baca:</t>
        </r>
        <r>
          <rPr>
            <sz val="9"/>
            <color indexed="81"/>
            <rFont val="Tahoma"/>
            <family val="2"/>
          </rPr>
          <t xml:space="preserve">
The seedlings were transferred to hydroculture for 3-14 d h (page 475) + 3d germinated in the dark</t>
        </r>
      </text>
    </comment>
    <comment ref="T352" authorId="0" shapeId="0" xr:uid="{F30BF7A2-019F-4D0B-AAA8-875CF63BC336}">
      <text>
        <r>
          <rPr>
            <b/>
            <sz val="9"/>
            <color indexed="81"/>
            <rFont val="Tahoma"/>
            <family val="2"/>
          </rPr>
          <t>Juan Baca:</t>
        </r>
        <r>
          <rPr>
            <sz val="9"/>
            <color indexed="81"/>
            <rFont val="Tahoma"/>
            <family val="2"/>
          </rPr>
          <t xml:space="preserve">
end segments of the primary roots were excised at a length of 47-166 mm (page 475)</t>
        </r>
      </text>
    </comment>
    <comment ref="W352" authorId="0" shapeId="0" xr:uid="{4251BC06-DA2D-4EAC-A34E-99EFF22D2201}">
      <text>
        <r>
          <rPr>
            <b/>
            <sz val="9"/>
            <color indexed="81"/>
            <rFont val="Tahoma"/>
            <family val="2"/>
          </rPr>
          <t>Juan Baca:</t>
        </r>
        <r>
          <rPr>
            <sz val="9"/>
            <color indexed="81"/>
            <rFont val="Tahoma"/>
            <family val="2"/>
          </rPr>
          <t xml:space="preserve">
data from table 1</t>
        </r>
      </text>
    </comment>
    <comment ref="Z352" authorId="0" shapeId="0" xr:uid="{3CA1135B-0843-4BB4-8654-7CFB508686AE}">
      <text>
        <r>
          <rPr>
            <b/>
            <sz val="9"/>
            <color indexed="81"/>
            <rFont val="Tahoma"/>
            <family val="2"/>
          </rPr>
          <t>Juan Baca:</t>
        </r>
        <r>
          <rPr>
            <sz val="9"/>
            <color indexed="81"/>
            <rFont val="Tahoma"/>
            <family val="2"/>
          </rPr>
          <t xml:space="preserve">
root diameter: 0.9-1.1 mm) (page 475)</t>
        </r>
      </text>
    </comment>
    <comment ref="T370" authorId="0" shapeId="0" xr:uid="{5B899B94-DBCF-4059-99D3-E0BAE35092CC}">
      <text>
        <r>
          <rPr>
            <b/>
            <sz val="9"/>
            <color indexed="81"/>
            <rFont val="Tahoma"/>
            <family val="2"/>
          </rPr>
          <t>Juan Baca:</t>
        </r>
        <r>
          <rPr>
            <sz val="9"/>
            <color indexed="81"/>
            <rFont val="Tahoma"/>
            <family val="2"/>
          </rPr>
          <t xml:space="preserve">
arbitrarily defined as: distal &lt;12, mid-root &lt; 18 and basal &gt; 18 </t>
        </r>
      </text>
    </comment>
    <comment ref="Z370" authorId="0" shapeId="0" xr:uid="{09D8B083-07EA-43FC-A675-602DAAB12C8D}">
      <text>
        <r>
          <rPr>
            <b/>
            <sz val="9"/>
            <color indexed="81"/>
            <rFont val="Tahoma"/>
            <family val="2"/>
          </rPr>
          <t>Juan Baca:</t>
        </r>
        <r>
          <rPr>
            <sz val="9"/>
            <color indexed="81"/>
            <rFont val="Tahoma"/>
            <family val="2"/>
          </rPr>
          <t xml:space="preserve">
Lateral roots averaging 11 mm in diameter were carefully excavated, excised from the main root, and submerged in
distilled water (page 1442)</t>
        </r>
      </text>
    </comment>
    <comment ref="J375" authorId="0" shapeId="0" xr:uid="{E5EB005D-15D0-4DDC-84B6-DB0483268FCB}">
      <text>
        <r>
          <rPr>
            <b/>
            <sz val="9"/>
            <color indexed="81"/>
            <rFont val="Tahoma"/>
            <family val="2"/>
          </rPr>
          <t>Juan Baca:</t>
        </r>
        <r>
          <rPr>
            <sz val="9"/>
            <color indexed="81"/>
            <rFont val="Tahoma"/>
            <family val="2"/>
          </rPr>
          <t xml:space="preserve">
30-d-old lateral
roots on plants that were well-watered or droughted for different lengths of time to induce root abscission (page 1442) + 18 days of drought treatment</t>
        </r>
      </text>
    </comment>
    <comment ref="T375" authorId="0" shapeId="0" xr:uid="{D408DB4F-913F-409D-BCE1-71BCA293F6A8}">
      <text>
        <r>
          <rPr>
            <b/>
            <sz val="9"/>
            <color indexed="81"/>
            <rFont val="Tahoma"/>
            <family val="2"/>
          </rPr>
          <t>Juan Baca:</t>
        </r>
        <r>
          <rPr>
            <sz val="9"/>
            <color indexed="81"/>
            <rFont val="Tahoma"/>
            <family val="2"/>
          </rPr>
          <t xml:space="preserve">
arbitrarily defined as distance to tip &lt;10 cm, &lt;20cm and &gt; 20cm </t>
        </r>
      </text>
    </comment>
    <comment ref="T378" authorId="0" shapeId="0" xr:uid="{4F42C27B-DFF2-4143-8FE1-772D904B7033}">
      <text>
        <r>
          <rPr>
            <b/>
            <sz val="9"/>
            <color indexed="81"/>
            <rFont val="Tahoma"/>
            <family val="2"/>
          </rPr>
          <t>Juan Baca:</t>
        </r>
        <r>
          <rPr>
            <sz val="9"/>
            <color indexed="81"/>
            <rFont val="Tahoma"/>
            <family val="2"/>
          </rPr>
          <t xml:space="preserve">
arbitrarily defined as distance to tip &lt;5 cm, &lt;10cm and &gt; 10cm </t>
        </r>
      </text>
    </comment>
    <comment ref="T381" authorId="0" shapeId="0" xr:uid="{2AB3ACA7-54D1-45B6-9523-3F4AE7E7FE8D}">
      <text>
        <r>
          <rPr>
            <b/>
            <sz val="9"/>
            <color indexed="81"/>
            <rFont val="Tahoma"/>
            <family val="2"/>
          </rPr>
          <t>Juan Baca:</t>
        </r>
        <r>
          <rPr>
            <sz val="9"/>
            <color indexed="81"/>
            <rFont val="Tahoma"/>
            <family val="2"/>
          </rPr>
          <t xml:space="preserve">
arbitrarily defined as distance to tip &lt;10 cm, &lt;20cm and &gt; 20cm </t>
        </r>
      </text>
    </comment>
    <comment ref="T384" authorId="0" shapeId="0" xr:uid="{16BCEB5B-722B-4028-B1AD-CC048E3757C3}">
      <text>
        <r>
          <rPr>
            <b/>
            <sz val="9"/>
            <color indexed="81"/>
            <rFont val="Tahoma"/>
            <family val="2"/>
          </rPr>
          <t>Juan Baca:</t>
        </r>
        <r>
          <rPr>
            <sz val="9"/>
            <color indexed="81"/>
            <rFont val="Tahoma"/>
            <family val="2"/>
          </rPr>
          <t xml:space="preserve">
arbitrarily defined as distance to tip &lt;5 cm, &lt;10cm and &gt; 10cm </t>
        </r>
      </text>
    </comment>
    <comment ref="J387" authorId="0" shapeId="0" xr:uid="{FE204279-E515-4CD5-A173-AC2F294544D9}">
      <text>
        <r>
          <rPr>
            <b/>
            <sz val="9"/>
            <color indexed="81"/>
            <rFont val="Tahoma"/>
            <family val="2"/>
          </rPr>
          <t>Juan Baca:</t>
        </r>
        <r>
          <rPr>
            <sz val="9"/>
            <color indexed="81"/>
            <rFont val="Tahoma"/>
            <family val="2"/>
          </rPr>
          <t xml:space="preserve">
Plants were irrigated daily
with full-strength nutrient solution for 18 d from the date ofimbibition and then exposed to water deficit by withholding
irrigation for 15 d (page 204)</t>
        </r>
      </text>
    </comment>
    <comment ref="W387" authorId="0" shapeId="0" xr:uid="{317EE60C-6F3D-4EBE-AB43-762E6B57A015}">
      <text>
        <r>
          <rPr>
            <b/>
            <sz val="9"/>
            <color indexed="81"/>
            <rFont val="Tahoma"/>
            <family val="2"/>
          </rPr>
          <t>Juan Baca:</t>
        </r>
        <r>
          <rPr>
            <sz val="9"/>
            <color indexed="81"/>
            <rFont val="Tahoma"/>
            <family val="2"/>
          </rPr>
          <t xml:space="preserve">
kr data from text (page 205)</t>
        </r>
      </text>
    </comment>
    <comment ref="K389" authorId="0" shapeId="0" xr:uid="{02E278F2-93F1-4465-959C-50B649BFBA1B}">
      <text>
        <r>
          <rPr>
            <b/>
            <sz val="9"/>
            <color indexed="81"/>
            <rFont val="Tahoma"/>
            <family val="2"/>
          </rPr>
          <t>Juan Baca:</t>
        </r>
        <r>
          <rPr>
            <sz val="9"/>
            <color indexed="81"/>
            <rFont val="Tahoma"/>
            <family val="2"/>
          </rPr>
          <t xml:space="preserve">
root length and number of root segments measured varied depending on the roots</t>
        </r>
      </text>
    </comment>
    <comment ref="W389" authorId="0" shapeId="0" xr:uid="{7867F85A-87E6-42FA-B5F2-AA4BDB9ABB17}">
      <text>
        <r>
          <rPr>
            <b/>
            <sz val="9"/>
            <color indexed="81"/>
            <rFont val="Tahoma"/>
            <family val="2"/>
          </rPr>
          <t>Juan Baca:</t>
        </r>
        <r>
          <rPr>
            <sz val="9"/>
            <color indexed="81"/>
            <rFont val="Tahoma"/>
            <family val="2"/>
          </rPr>
          <t xml:space="preserve">
all data from table 1</t>
        </r>
      </text>
    </comment>
    <comment ref="K395" authorId="0" shapeId="0" xr:uid="{B335003E-1A8C-4D05-9185-DA1E01F8EC84}">
      <text>
        <r>
          <rPr>
            <b/>
            <sz val="9"/>
            <color indexed="81"/>
            <rFont val="Tahoma"/>
            <family val="2"/>
          </rPr>
          <t>Juan Baca:</t>
        </r>
        <r>
          <rPr>
            <sz val="9"/>
            <color indexed="81"/>
            <rFont val="Tahoma"/>
            <family val="2"/>
          </rPr>
          <t xml:space="preserve">
root length and number of root segments measured varied depending on the roots</t>
        </r>
      </text>
    </comment>
    <comment ref="J401" authorId="0" shapeId="0" xr:uid="{485B034B-A9CF-455F-BBE2-C00678DAFFDA}">
      <text>
        <r>
          <rPr>
            <b/>
            <sz val="9"/>
            <color indexed="81"/>
            <rFont val="Tahoma"/>
            <family val="2"/>
          </rPr>
          <t>Juan Baca:</t>
        </r>
        <r>
          <rPr>
            <sz val="9"/>
            <color indexed="81"/>
            <rFont val="Tahoma"/>
            <family val="2"/>
          </rPr>
          <t xml:space="preserve">
germinated 3 d in the dark and then 8-11 days in nutrient solution (page 306)</t>
        </r>
      </text>
    </comment>
    <comment ref="T401" authorId="0" shapeId="0" xr:uid="{82E10CA7-34E2-4BF6-A3BD-9F51B478922A}">
      <text>
        <r>
          <rPr>
            <b/>
            <sz val="9"/>
            <color indexed="81"/>
            <rFont val="Tahoma"/>
            <family val="2"/>
          </rPr>
          <t>Juan Baca:</t>
        </r>
        <r>
          <rPr>
            <sz val="9"/>
            <color indexed="81"/>
            <rFont val="Tahoma"/>
            <family val="2"/>
          </rPr>
          <t xml:space="preserve">
from which end segments of a length of 75 mm
were cut for the experiments (page 306)</t>
        </r>
      </text>
    </comment>
    <comment ref="W401" authorId="0" shapeId="0" xr:uid="{788EFE1D-168C-476A-AB9C-1F524D4CF86D}">
      <text>
        <r>
          <rPr>
            <b/>
            <sz val="9"/>
            <color indexed="81"/>
            <rFont val="Tahoma"/>
            <family val="2"/>
          </rPr>
          <t>Juan Baca:</t>
        </r>
        <r>
          <rPr>
            <sz val="9"/>
            <color indexed="81"/>
            <rFont val="Tahoma"/>
            <family val="2"/>
          </rPr>
          <t xml:space="preserve">
data from table 3</t>
        </r>
      </text>
    </comment>
    <comment ref="Y401" authorId="0" shapeId="0" xr:uid="{4898FF2E-C193-48E1-8C72-C7F031D10A22}">
      <text>
        <r>
          <rPr>
            <b/>
            <sz val="9"/>
            <color indexed="81"/>
            <rFont val="Tahoma"/>
            <family val="2"/>
          </rPr>
          <t>Juan Baca:</t>
        </r>
        <r>
          <rPr>
            <sz val="9"/>
            <color indexed="81"/>
            <rFont val="Tahoma"/>
            <family val="2"/>
          </rPr>
          <t xml:space="preserve">
Main roots were 150 to 250 mm long with a diameter of 0.8
to 1.2 mm (page 306)</t>
        </r>
      </text>
    </comment>
    <comment ref="Z401" authorId="0" shapeId="0" xr:uid="{9239E9ED-4CC6-4538-A19B-51826A83693F}">
      <text>
        <r>
          <rPr>
            <b/>
            <sz val="9"/>
            <color indexed="81"/>
            <rFont val="Tahoma"/>
            <family val="2"/>
          </rPr>
          <t>Juan Baca:</t>
        </r>
        <r>
          <rPr>
            <sz val="9"/>
            <color indexed="81"/>
            <rFont val="Tahoma"/>
            <family val="2"/>
          </rPr>
          <t xml:space="preserve">
Main roots were 150 to 250 mm long with a diameter of 0.8
to 1.2 mm (page 306)</t>
        </r>
      </text>
    </comment>
    <comment ref="J402" authorId="0" shapeId="0" xr:uid="{1DBD3B93-6229-401C-A05E-4A8C091BF265}">
      <text>
        <r>
          <rPr>
            <b/>
            <sz val="9"/>
            <color indexed="81"/>
            <rFont val="Tahoma"/>
            <family val="2"/>
          </rPr>
          <t>Juan Baca:</t>
        </r>
        <r>
          <rPr>
            <sz val="9"/>
            <color indexed="81"/>
            <rFont val="Tahoma"/>
            <family val="2"/>
          </rPr>
          <t xml:space="preserve">
old root NODES were 6-12 month old (old nodes) or 4-6 weeks (young nodes. Lateral roots were the same age as young nodes (page 907) </t>
        </r>
      </text>
    </comment>
    <comment ref="L402" authorId="0" shapeId="0" xr:uid="{1DA7276A-D232-4856-91F8-C66A2F8BF204}">
      <text>
        <r>
          <rPr>
            <b/>
            <sz val="9"/>
            <color indexed="81"/>
            <rFont val="Tahoma"/>
            <family val="2"/>
          </rPr>
          <t>Juan Baca:</t>
        </r>
        <r>
          <rPr>
            <sz val="9"/>
            <color indexed="81"/>
            <rFont val="Tahoma"/>
            <family val="2"/>
          </rPr>
          <t xml:space="preserve">
in this case, control refers to the start of the experiment (0day dorught), and dorught measurements were performed before and after embolism removal  (see legend table 1)</t>
        </r>
      </text>
    </comment>
    <comment ref="W402" authorId="0" shapeId="0" xr:uid="{C5EDAF5F-0AE2-46F6-BA0F-14426DFBCC6E}">
      <text>
        <r>
          <rPr>
            <b/>
            <sz val="9"/>
            <color indexed="81"/>
            <rFont val="Tahoma"/>
            <family val="2"/>
          </rPr>
          <t>Juan Baca:</t>
        </r>
        <r>
          <rPr>
            <sz val="9"/>
            <color indexed="81"/>
            <rFont val="Tahoma"/>
            <family val="2"/>
          </rPr>
          <t xml:space="preserve">
data from table 1</t>
        </r>
      </text>
    </comment>
    <comment ref="Y402" authorId="0" shapeId="0" xr:uid="{29EE37BF-0402-45CF-81D9-B6BE282EE496}">
      <text>
        <r>
          <rPr>
            <b/>
            <sz val="9"/>
            <color indexed="81"/>
            <rFont val="Tahoma"/>
            <family val="2"/>
          </rPr>
          <t>Juan Baca:</t>
        </r>
        <r>
          <rPr>
            <sz val="9"/>
            <color indexed="81"/>
            <rFont val="Tahoma"/>
            <family val="2"/>
          </rPr>
          <t xml:space="preserve">
Nodal roots were generally 20-40 em long…
Lateral roots averaged 10 em in length. (page 907)</t>
        </r>
      </text>
    </comment>
    <comment ref="Z402" authorId="0" shapeId="0" xr:uid="{A05044E9-C025-4EC1-8B50-1F7784C7477C}">
      <text>
        <r>
          <rPr>
            <b/>
            <sz val="9"/>
            <color indexed="81"/>
            <rFont val="Tahoma"/>
            <family val="2"/>
          </rPr>
          <t>Juan Baca:</t>
        </r>
        <r>
          <rPr>
            <sz val="9"/>
            <color indexed="81"/>
            <rFont val="Tahoma"/>
            <family val="2"/>
          </rPr>
          <t xml:space="preserve">
young and older, 3 mm
diameter) and lateral roots (l mm diameter) (legend table 1)</t>
        </r>
      </text>
    </comment>
    <comment ref="J410" authorId="0" shapeId="0" xr:uid="{A5DC5D0F-CB73-4798-99E9-2F92C9EB039C}">
      <text>
        <r>
          <rPr>
            <b/>
            <sz val="9"/>
            <color indexed="81"/>
            <rFont val="Tahoma"/>
            <family val="2"/>
          </rPr>
          <t>Juan Baca:</t>
        </r>
        <r>
          <rPr>
            <sz val="9"/>
            <color indexed="81"/>
            <rFont val="Tahoma"/>
            <family val="2"/>
          </rPr>
          <t xml:space="preserve">
old root NODES were 6-12 month old (old nodes) or 4-6 weeks (young nodes. Lateral roots were the same age as young nodes (page 907) + days of drought treatment (0, 7 or 30)</t>
        </r>
      </text>
    </comment>
    <comment ref="L410" authorId="0" shapeId="0" xr:uid="{33BC4297-02D5-44EE-9942-E7F8E111A52A}">
      <text>
        <r>
          <rPr>
            <b/>
            <sz val="9"/>
            <color indexed="81"/>
            <rFont val="Tahoma"/>
            <family val="2"/>
          </rPr>
          <t>Juan Baca:</t>
        </r>
        <r>
          <rPr>
            <sz val="9"/>
            <color indexed="81"/>
            <rFont val="Tahoma"/>
            <family val="2"/>
          </rPr>
          <t xml:space="preserve">
in this case, control refers to the start of the experiment (0day dorught), and dorught measurements were performed before and after embolism removal  (see legend table 1)</t>
        </r>
      </text>
    </comment>
    <comment ref="J416" authorId="0" shapeId="0" xr:uid="{BEBCA1A2-9373-43A5-8751-63119FB0A2C3}">
      <text>
        <r>
          <rPr>
            <b/>
            <sz val="9"/>
            <color indexed="81"/>
            <rFont val="Tahoma"/>
            <family val="2"/>
          </rPr>
          <t>Juan Baca:</t>
        </r>
        <r>
          <rPr>
            <sz val="9"/>
            <color indexed="81"/>
            <rFont val="Tahoma"/>
            <family val="2"/>
          </rPr>
          <t xml:space="preserve">
data from Fig 2</t>
        </r>
      </text>
    </comment>
    <comment ref="S416" authorId="0" shapeId="0" xr:uid="{8B024839-811F-4B86-9725-71B9B58A799F}">
      <text>
        <r>
          <rPr>
            <b/>
            <sz val="9"/>
            <color indexed="81"/>
            <rFont val="Tahoma"/>
            <family val="2"/>
          </rPr>
          <t>Juan Baca:</t>
        </r>
        <r>
          <rPr>
            <sz val="9"/>
            <color indexed="81"/>
            <rFont val="Tahoma"/>
            <family val="2"/>
          </rPr>
          <t xml:space="preserve">
 Roots were cut close to the base of the
plant, transferred to a beaker of water (page 144)</t>
        </r>
      </text>
    </comment>
    <comment ref="J431" authorId="0" shapeId="0" xr:uid="{40124BED-E0E8-41A3-BC14-1DD2E9FD5E6A}">
      <text>
        <r>
          <rPr>
            <b/>
            <sz val="9"/>
            <color indexed="81"/>
            <rFont val="Tahoma"/>
            <family val="2"/>
          </rPr>
          <t>Juan Baca:</t>
        </r>
        <r>
          <rPr>
            <sz val="9"/>
            <color indexed="81"/>
            <rFont val="Tahoma"/>
            <family val="2"/>
          </rPr>
          <t xml:space="preserve">
The plants used for
the root pressure probe experiments ranged in age from 2 to 13 d. (page 1137)</t>
        </r>
      </text>
    </comment>
    <comment ref="T431" authorId="0" shapeId="0" xr:uid="{D9A293B3-3ECE-4951-AE12-1FAEE40046C4}">
      <text>
        <r>
          <rPr>
            <b/>
            <sz val="9"/>
            <color indexed="81"/>
            <rFont val="Tahoma"/>
            <family val="2"/>
          </rPr>
          <t>Juan Baca:</t>
        </r>
        <r>
          <rPr>
            <sz val="9"/>
            <color indexed="81"/>
            <rFont val="Tahoma"/>
            <family val="2"/>
          </rPr>
          <t xml:space="preserve">
End segments of the main root systems were excised at a length of 50 to 150 mm and were used for the pressure probe experiments. (page 1137)</t>
        </r>
      </text>
    </comment>
    <comment ref="W431" authorId="0" shapeId="0" xr:uid="{2D747B36-CB2A-4E6A-B398-9FE9977328D7}">
      <text>
        <r>
          <rPr>
            <b/>
            <sz val="9"/>
            <color indexed="81"/>
            <rFont val="Tahoma"/>
            <family val="2"/>
          </rPr>
          <t>Juan Baca:</t>
        </r>
        <r>
          <rPr>
            <sz val="9"/>
            <color indexed="81"/>
            <rFont val="Tahoma"/>
            <family val="2"/>
          </rPr>
          <t xml:space="preserve">
data from table 1 (Lpr_ex)</t>
        </r>
      </text>
    </comment>
    <comment ref="Z431" authorId="0" shapeId="0" xr:uid="{DC167024-8C68-4B8E-82AE-E15B09ED429B}">
      <text>
        <r>
          <rPr>
            <b/>
            <sz val="9"/>
            <color indexed="81"/>
            <rFont val="Tahoma"/>
            <family val="2"/>
          </rPr>
          <t>Juan Baca:</t>
        </r>
        <r>
          <rPr>
            <sz val="9"/>
            <color indexed="81"/>
            <rFont val="Tahoma"/>
            <family val="2"/>
          </rPr>
          <t xml:space="preserve">
data from text (page 1137)</t>
        </r>
      </text>
    </comment>
    <comment ref="W443" authorId="0" shapeId="0" xr:uid="{5224B56C-16CC-47AB-A8B6-64467817B1F5}">
      <text>
        <r>
          <rPr>
            <b/>
            <sz val="9"/>
            <color indexed="81"/>
            <rFont val="Tahoma"/>
            <family val="2"/>
          </rPr>
          <t>Juan Baca:</t>
        </r>
        <r>
          <rPr>
            <sz val="9"/>
            <color indexed="81"/>
            <rFont val="Tahoma"/>
            <family val="2"/>
          </rPr>
          <t xml:space="preserve">
data from table 2</t>
        </r>
      </text>
    </comment>
    <comment ref="J455" authorId="0" shapeId="0" xr:uid="{9F2F0FB6-DBD3-4CCF-9B0E-04343F098BFC}">
      <text>
        <r>
          <rPr>
            <b/>
            <sz val="9"/>
            <color indexed="81"/>
            <rFont val="Tahoma"/>
            <family val="2"/>
          </rPr>
          <t>Juan Baca:</t>
        </r>
        <r>
          <rPr>
            <sz val="9"/>
            <color indexed="81"/>
            <rFont val="Tahoma"/>
            <family val="2"/>
          </rPr>
          <t xml:space="preserve">
2 days germinated in dark + 4 days in hogland solution (page 240) </t>
        </r>
      </text>
    </comment>
    <comment ref="T455" authorId="0" shapeId="0" xr:uid="{F5D8CA1C-BEAE-4FB4-AF31-83E63B8ADD04}">
      <text>
        <r>
          <rPr>
            <b/>
            <sz val="9"/>
            <color indexed="81"/>
            <rFont val="Tahoma"/>
            <family val="2"/>
          </rPr>
          <t>Juan Baca:</t>
        </r>
        <r>
          <rPr>
            <sz val="9"/>
            <color indexed="81"/>
            <rFont val="Tahoma"/>
            <family val="2"/>
          </rPr>
          <t xml:space="preserve">
in apical 4-cm segments of maize seedling roots (legend table III)</t>
        </r>
      </text>
    </comment>
    <comment ref="W455" authorId="0" shapeId="0" xr:uid="{B5AA3B4B-4D1B-4A88-810C-7216629BCA3B}">
      <text>
        <r>
          <rPr>
            <b/>
            <sz val="9"/>
            <color indexed="81"/>
            <rFont val="Tahoma"/>
            <family val="2"/>
          </rPr>
          <t>Juan Baca:</t>
        </r>
        <r>
          <rPr>
            <sz val="9"/>
            <color indexed="81"/>
            <rFont val="Tahoma"/>
            <family val="2"/>
          </rPr>
          <t xml:space="preserve">
data from table 4</t>
        </r>
      </text>
    </comment>
    <comment ref="Z455" authorId="0" shapeId="0" xr:uid="{0D87A01F-3000-4158-BC60-4CE8DC908739}">
      <text>
        <r>
          <rPr>
            <b/>
            <sz val="9"/>
            <color indexed="81"/>
            <rFont val="Tahoma"/>
            <family val="2"/>
          </rPr>
          <t>Juan Baca:</t>
        </r>
        <r>
          <rPr>
            <sz val="9"/>
            <color indexed="81"/>
            <rFont val="Tahoma"/>
            <family val="2"/>
          </rPr>
          <t xml:space="preserve">
morphologic data from table 1</t>
        </r>
      </text>
    </comment>
    <comment ref="W459" authorId="0" shapeId="0" xr:uid="{644B8E88-F829-4478-8490-8517490A1F3F}">
      <text>
        <r>
          <rPr>
            <b/>
            <sz val="9"/>
            <color indexed="81"/>
            <rFont val="Tahoma"/>
            <family val="2"/>
          </rPr>
          <t>Juan Baca:</t>
        </r>
        <r>
          <rPr>
            <sz val="9"/>
            <color indexed="81"/>
            <rFont val="Tahoma"/>
            <family val="2"/>
          </rPr>
          <t xml:space="preserve">
data from table 3</t>
        </r>
      </text>
    </comment>
    <comment ref="Z460" authorId="0" shapeId="0" xr:uid="{D0419A78-E730-400B-A2D0-BF3BA01B4AC8}">
      <text>
        <r>
          <rPr>
            <b/>
            <sz val="9"/>
            <color indexed="81"/>
            <rFont val="Tahoma"/>
            <family val="2"/>
          </rPr>
          <t>Juan Baca:</t>
        </r>
        <r>
          <rPr>
            <sz val="9"/>
            <color indexed="81"/>
            <rFont val="Tahoma"/>
            <family val="2"/>
          </rPr>
          <t xml:space="preserve">
morphologic data from table 1</t>
        </r>
      </text>
    </comment>
    <comment ref="J461" authorId="0" shapeId="0" xr:uid="{B3FE6769-EE51-44AF-87D1-11110950076E}">
      <text>
        <r>
          <rPr>
            <b/>
            <sz val="9"/>
            <color indexed="81"/>
            <rFont val="Tahoma"/>
            <family val="2"/>
          </rPr>
          <t>Juan Baca:</t>
        </r>
        <r>
          <rPr>
            <sz val="9"/>
            <color indexed="81"/>
            <rFont val="Tahoma"/>
            <family val="2"/>
          </rPr>
          <t xml:space="preserve">
data from table 1</t>
        </r>
      </text>
    </comment>
    <comment ref="W461" authorId="0" shapeId="0" xr:uid="{713F0BD5-DB44-4E2E-A28F-F6EADE964C1A}">
      <text>
        <r>
          <rPr>
            <b/>
            <sz val="9"/>
            <color indexed="81"/>
            <rFont val="Tahoma"/>
            <family val="2"/>
          </rPr>
          <t>Juan Baca:</t>
        </r>
        <r>
          <rPr>
            <sz val="9"/>
            <color indexed="81"/>
            <rFont val="Tahoma"/>
            <family val="2"/>
          </rPr>
          <t xml:space="preserve">
data from table 1</t>
        </r>
      </text>
    </comment>
    <comment ref="J467" authorId="0" shapeId="0" xr:uid="{3F1CC35E-D1D4-4E01-BA2F-6694EB8C81FA}">
      <text>
        <r>
          <rPr>
            <b/>
            <sz val="9"/>
            <color indexed="81"/>
            <rFont val="Tahoma"/>
            <family val="2"/>
          </rPr>
          <t>Juan Baca:</t>
        </r>
        <r>
          <rPr>
            <sz val="9"/>
            <color indexed="81"/>
            <rFont val="Tahoma"/>
            <family val="2"/>
          </rPr>
          <t xml:space="preserve">
Experiments were carried out on primary roots of 3 to 16 d old plants (page 719)</t>
        </r>
      </text>
    </comment>
    <comment ref="J473" authorId="0" shapeId="0" xr:uid="{17A1BA7E-2470-40A2-90C8-B1CD4998838C}">
      <text>
        <r>
          <rPr>
            <b/>
            <sz val="9"/>
            <color indexed="81"/>
            <rFont val="Tahoma"/>
            <family val="2"/>
          </rPr>
          <t>Juan Baca:</t>
        </r>
        <r>
          <rPr>
            <sz val="9"/>
            <color indexed="81"/>
            <rFont val="Tahoma"/>
            <family val="2"/>
          </rPr>
          <t xml:space="preserve">
no clear infromation about age</t>
        </r>
      </text>
    </comment>
    <comment ref="T473" authorId="0" shapeId="0" xr:uid="{D68968B8-ED02-4177-99E7-FC22075B8B6A}">
      <text>
        <r>
          <rPr>
            <b/>
            <sz val="9"/>
            <color indexed="81"/>
            <rFont val="Tahoma"/>
            <family val="2"/>
          </rPr>
          <t>Juan Baca:</t>
        </r>
        <r>
          <rPr>
            <sz val="9"/>
            <color indexed="81"/>
            <rFont val="Tahoma"/>
            <family val="2"/>
          </rPr>
          <t xml:space="preserve">
apical segments (legend Table 4)</t>
        </r>
      </text>
    </comment>
    <comment ref="W473" authorId="0" shapeId="0" xr:uid="{AA6BFE8E-E47B-4245-8261-230AF10DF742}">
      <text>
        <r>
          <rPr>
            <b/>
            <sz val="9"/>
            <color indexed="81"/>
            <rFont val="Tahoma"/>
            <family val="2"/>
          </rPr>
          <t>Juan Baca:</t>
        </r>
        <r>
          <rPr>
            <sz val="9"/>
            <color indexed="81"/>
            <rFont val="Tahoma"/>
            <family val="2"/>
          </rPr>
          <t xml:space="preserve">
data from table 4 (values for apical segments)</t>
        </r>
      </text>
    </comment>
    <comment ref="Z473" authorId="0" shapeId="0" xr:uid="{B05038AD-6CEE-4B28-9006-A4C92D2D59A1}">
      <text>
        <r>
          <rPr>
            <b/>
            <sz val="9"/>
            <color indexed="81"/>
            <rFont val="Tahoma"/>
            <family val="2"/>
          </rPr>
          <t>Juan Baca:</t>
        </r>
        <r>
          <rPr>
            <sz val="9"/>
            <color indexed="81"/>
            <rFont val="Tahoma"/>
            <family val="2"/>
          </rPr>
          <t xml:space="preserve">
data from table 3</t>
        </r>
      </text>
    </comment>
    <comment ref="J475" authorId="0" shapeId="0" xr:uid="{A0C5FB2A-530D-4AF5-B69B-6D5E3F93CD83}">
      <text>
        <r>
          <rPr>
            <b/>
            <sz val="9"/>
            <color indexed="81"/>
            <rFont val="Tahoma"/>
            <family val="2"/>
          </rPr>
          <t>Juan Baca:</t>
        </r>
        <r>
          <rPr>
            <sz val="9"/>
            <color indexed="81"/>
            <rFont val="Tahoma"/>
            <family val="2"/>
          </rPr>
          <t xml:space="preserve">
Whole root systems (shoot removed but
caryopsis still attached) and single roots were excised when seedlings were d~10 d old and before root branching had occurred (page 2)</t>
        </r>
      </text>
    </comment>
    <comment ref="J481" authorId="0" shapeId="0" xr:uid="{6E7A48B2-12C8-423B-8811-B4DC0705DCE0}">
      <text>
        <r>
          <rPr>
            <b/>
            <sz val="9"/>
            <color indexed="81"/>
            <rFont val="Tahoma"/>
            <family val="2"/>
          </rPr>
          <t>Juan Baca:</t>
        </r>
        <r>
          <rPr>
            <sz val="9"/>
            <color indexed="81"/>
            <rFont val="Tahoma"/>
            <family val="2"/>
          </rPr>
          <t xml:space="preserve">
he plants used for the experiments ranged in
age between 5 and 13 d. The root systems were 89 to 340 mm long (page 1221)</t>
        </r>
      </text>
    </comment>
    <comment ref="T481" authorId="0" shapeId="0" xr:uid="{E8E175DB-B22B-4938-8696-654E7CB8D05D}">
      <text>
        <r>
          <rPr>
            <b/>
            <sz val="9"/>
            <color indexed="81"/>
            <rFont val="Tahoma"/>
            <family val="2"/>
          </rPr>
          <t>Juan Baca:</t>
        </r>
        <r>
          <rPr>
            <sz val="9"/>
            <color indexed="81"/>
            <rFont val="Tahoma"/>
            <family val="2"/>
          </rPr>
          <t xml:space="preserve">
end segments of the
main root were used which were excised at a length of 45 to 128
mm. Main roots of this length should already contain different developmental states of the endodermis (primary, secondary, and tertiary endodermis). (page 1221).</t>
        </r>
      </text>
    </comment>
    <comment ref="W481" authorId="0" shapeId="0" xr:uid="{4F8EE8CA-13A1-4C51-9E75-6B09942E8B27}">
      <text>
        <r>
          <rPr>
            <b/>
            <sz val="9"/>
            <color indexed="81"/>
            <rFont val="Tahoma"/>
            <family val="2"/>
          </rPr>
          <t>Juan Baca:</t>
        </r>
        <r>
          <rPr>
            <sz val="9"/>
            <color indexed="81"/>
            <rFont val="Tahoma"/>
            <family val="2"/>
          </rPr>
          <t xml:space="preserve">
data from table 1</t>
        </r>
      </text>
    </comment>
    <comment ref="Z481" authorId="0" shapeId="0" xr:uid="{FE401070-3087-41A0-B321-6CFDC9F65736}">
      <text>
        <r>
          <rPr>
            <b/>
            <sz val="9"/>
            <color indexed="81"/>
            <rFont val="Tahoma"/>
            <family val="2"/>
          </rPr>
          <t>Juan Baca:</t>
        </r>
        <r>
          <rPr>
            <sz val="9"/>
            <color indexed="81"/>
            <rFont val="Tahoma"/>
            <family val="2"/>
          </rPr>
          <t xml:space="preserve">
The segments varied in diameter from 0.7 to 1.2 mm (page 1221)</t>
        </r>
      </text>
    </comment>
    <comment ref="J487" authorId="0" shapeId="0" xr:uid="{BB96E2E8-4ACF-4FA9-9F3D-EE4184DDA3C2}">
      <text>
        <r>
          <rPr>
            <b/>
            <sz val="9"/>
            <color indexed="81"/>
            <rFont val="Tahoma"/>
            <family val="2"/>
          </rPr>
          <t>Juan Baca:</t>
        </r>
        <r>
          <rPr>
            <sz val="9"/>
            <color indexed="81"/>
            <rFont val="Tahoma"/>
            <family val="2"/>
          </rPr>
          <t xml:space="preserve">
Plants used for the experiments were 6-13 d old (page 238)</t>
        </r>
      </text>
    </comment>
    <comment ref="W487" authorId="0" shapeId="0" xr:uid="{6384A1F7-74B9-43BC-B20C-8A31BD137BBB}">
      <text>
        <r>
          <rPr>
            <b/>
            <sz val="9"/>
            <color indexed="81"/>
            <rFont val="Tahoma"/>
            <family val="2"/>
          </rPr>
          <t>Juan Baca:</t>
        </r>
        <r>
          <rPr>
            <sz val="9"/>
            <color indexed="81"/>
            <rFont val="Tahoma"/>
            <family val="2"/>
          </rPr>
          <t xml:space="preserve">
data from table 2</t>
        </r>
      </text>
    </comment>
    <comment ref="Z487" authorId="0" shapeId="0" xr:uid="{C29B44C3-FFCE-4BA8-81AC-CC20A1156329}">
      <text>
        <r>
          <rPr>
            <b/>
            <sz val="9"/>
            <color indexed="81"/>
            <rFont val="Tahoma"/>
            <family val="2"/>
          </rPr>
          <t>Juan Baca:</t>
        </r>
        <r>
          <rPr>
            <sz val="9"/>
            <color indexed="81"/>
            <rFont val="Tahoma"/>
            <family val="2"/>
          </rPr>
          <t xml:space="preserve">
Mean diameters were 345-445 gm and the lengths were between
78 and 134 mm resulting in root volumes (V~)and outer surface areas (A~) of V~= 10-20 ~1 and A~-0.9 1.8 cm2 (page 239)</t>
        </r>
      </text>
    </comment>
  </commentList>
</comments>
</file>

<file path=xl/sharedStrings.xml><?xml version="1.0" encoding="utf-8"?>
<sst xmlns="http://schemas.openxmlformats.org/spreadsheetml/2006/main" count="8941" uniqueCount="299">
  <si>
    <t>Reference</t>
  </si>
  <si>
    <t>Species</t>
  </si>
  <si>
    <t>Genus</t>
  </si>
  <si>
    <t>Family</t>
  </si>
  <si>
    <t>Photo_pathway</t>
  </si>
  <si>
    <t>Age_days</t>
  </si>
  <si>
    <t xml:space="preserve">Root_section </t>
  </si>
  <si>
    <t>Conductance</t>
  </si>
  <si>
    <t>root_diameter_mm</t>
  </si>
  <si>
    <t>Barley</t>
  </si>
  <si>
    <t>Hordeum</t>
  </si>
  <si>
    <t>Poaceae</t>
  </si>
  <si>
    <t>C3</t>
  </si>
  <si>
    <t>C3 grass</t>
  </si>
  <si>
    <t>C4</t>
  </si>
  <si>
    <t>C4 grass</t>
  </si>
  <si>
    <t>Control</t>
  </si>
  <si>
    <t>Vitaceae</t>
  </si>
  <si>
    <t>HPFM</t>
  </si>
  <si>
    <t>Maize</t>
  </si>
  <si>
    <t>Zea</t>
  </si>
  <si>
    <t>Pressure probe</t>
  </si>
  <si>
    <t>Cuneo_etal_2021_New Phytol</t>
  </si>
  <si>
    <t>fine root</t>
  </si>
  <si>
    <t>Microcapillary</t>
  </si>
  <si>
    <t>seminal root</t>
  </si>
  <si>
    <t>distal</t>
  </si>
  <si>
    <t>Individual_root_length_cm</t>
  </si>
  <si>
    <t>Ding_etal_2020_Plant Physiol</t>
  </si>
  <si>
    <t>primary root</t>
  </si>
  <si>
    <t>Kreszies_etal_2020_Plant Cell Env</t>
  </si>
  <si>
    <t>whole</t>
  </si>
  <si>
    <t>Ranathunge_etal_2017_Ann Bot</t>
  </si>
  <si>
    <t>Quercus fusiformis</t>
  </si>
  <si>
    <t>Quercus</t>
  </si>
  <si>
    <t>Fagaceae</t>
  </si>
  <si>
    <t>BET Temperate</t>
  </si>
  <si>
    <t>Johnson_etal_2014_Trees</t>
  </si>
  <si>
    <t>shallow root</t>
  </si>
  <si>
    <t>deep root</t>
  </si>
  <si>
    <t>Fricke_etal_2014_Funct Plant Biol</t>
  </si>
  <si>
    <t>Root exudation</t>
  </si>
  <si>
    <t>Wheat</t>
  </si>
  <si>
    <t>Triticum</t>
  </si>
  <si>
    <t>adventitious root</t>
  </si>
  <si>
    <t>Salt stress</t>
  </si>
  <si>
    <t>Suku_etal_2013_Ann Bot</t>
  </si>
  <si>
    <t>Grapevine</t>
  </si>
  <si>
    <t>Gambetta_etal_2013_Plant Physiol</t>
  </si>
  <si>
    <t>Hachez_etal_2012_Plant Cell Env</t>
  </si>
  <si>
    <t>AQP</t>
  </si>
  <si>
    <t>Vacuum</t>
  </si>
  <si>
    <t>Pressure chamber</t>
  </si>
  <si>
    <t>Gambetta_etal_2012_J Exp Biol</t>
  </si>
  <si>
    <t>Knipfer_etal_2011_J Exp Biol</t>
  </si>
  <si>
    <t>Almeida-Rodriguez_etal_2011_Plant Cell Env</t>
  </si>
  <si>
    <t>Populus trichocarpa x deltoides</t>
  </si>
  <si>
    <t>Populus</t>
  </si>
  <si>
    <t>Salicaceae</t>
  </si>
  <si>
    <t>BDT Temperate</t>
  </si>
  <si>
    <t>Cerastes crassifolius</t>
  </si>
  <si>
    <t>Ceanothus</t>
  </si>
  <si>
    <t>Rhamnaceae</t>
  </si>
  <si>
    <t>Shrub</t>
  </si>
  <si>
    <t>BES Temperate</t>
  </si>
  <si>
    <t>Ceanothus spinosus</t>
  </si>
  <si>
    <t>Rhamnus californica</t>
  </si>
  <si>
    <t>Rhamnus</t>
  </si>
  <si>
    <t>Sun</t>
  </si>
  <si>
    <t>distal, mid-root</t>
  </si>
  <si>
    <t>basal</t>
  </si>
  <si>
    <t>Shade</t>
  </si>
  <si>
    <t>Pratt_et_al_2010_Funct Ecol</t>
  </si>
  <si>
    <t>Meyer_etal_2010_J Exp Biol</t>
  </si>
  <si>
    <t>Iris</t>
  </si>
  <si>
    <t>Iridaceae</t>
  </si>
  <si>
    <t>Iris germanica</t>
  </si>
  <si>
    <t>0 exodermal layers</t>
  </si>
  <si>
    <t>2 exodermal layers</t>
  </si>
  <si>
    <t>Mu_etal_2006_Bot Stud</t>
  </si>
  <si>
    <t xml:space="preserve">Drought </t>
  </si>
  <si>
    <t>Low P</t>
  </si>
  <si>
    <t>Low N</t>
  </si>
  <si>
    <t>Vacuum perfusion</t>
  </si>
  <si>
    <t>Joshi_etal_2009_New Phytol</t>
  </si>
  <si>
    <t>Katsuhara&amp;Shibasaka_2007_Soil Sci Plant Nutr</t>
  </si>
  <si>
    <t>Double-chamber volumeter</t>
  </si>
  <si>
    <t>Fan_etal_2007_J Integr Plant Biol</t>
  </si>
  <si>
    <t>Bramley_etal_2007_Plant Cell Env</t>
  </si>
  <si>
    <t>Narrow-leafed lupin</t>
  </si>
  <si>
    <t>Yellow lupin</t>
  </si>
  <si>
    <t>Lupinus</t>
  </si>
  <si>
    <t>Fabaceae</t>
  </si>
  <si>
    <t>Pressure probe relaxation</t>
  </si>
  <si>
    <t>Pressure probe clamp</t>
  </si>
  <si>
    <t>tap root</t>
  </si>
  <si>
    <t>Doussan_etal_2006_Plant Soil</t>
  </si>
  <si>
    <t>Zhao_etal_2005_J Integr Plant Biol</t>
  </si>
  <si>
    <t>Triticum boeoticum</t>
  </si>
  <si>
    <t>Triticum monococcum</t>
  </si>
  <si>
    <t>Triticum dicoccides</t>
  </si>
  <si>
    <t>Triticum dicoccon</t>
  </si>
  <si>
    <t>Triticum vulgare</t>
  </si>
  <si>
    <t>Triticum aestivum</t>
  </si>
  <si>
    <t>North_etal_2004_Plant Cell Env</t>
  </si>
  <si>
    <t>Agave deserti</t>
  </si>
  <si>
    <t>Agave</t>
  </si>
  <si>
    <t>Asparagaceae</t>
  </si>
  <si>
    <t>CAM</t>
  </si>
  <si>
    <t>Succulent</t>
  </si>
  <si>
    <t>mid-root</t>
  </si>
  <si>
    <t xml:space="preserve">Vacuum </t>
  </si>
  <si>
    <t>main root</t>
  </si>
  <si>
    <t>Drought</t>
  </si>
  <si>
    <t>Ranathunge_etal_2003_Planta</t>
  </si>
  <si>
    <t>Rice</t>
  </si>
  <si>
    <t>Oryza</t>
  </si>
  <si>
    <t>Miyamoto_etal_2001_J Exp Biol</t>
  </si>
  <si>
    <t>Martre_etal_2001_Plant Physiol</t>
  </si>
  <si>
    <t xml:space="preserve">Opuntia acanthocarpa </t>
  </si>
  <si>
    <t>Opuntia</t>
  </si>
  <si>
    <t>Cactaceae</t>
  </si>
  <si>
    <t>Zimmermann_etal_2000_Planta</t>
  </si>
  <si>
    <t>Drought_AQP</t>
  </si>
  <si>
    <t>North&amp;Nobel_2000_Ann Bot</t>
  </si>
  <si>
    <t>Barrowclough_etal_2000_J Exp Biol</t>
  </si>
  <si>
    <t>Onion</t>
  </si>
  <si>
    <t>Allium</t>
  </si>
  <si>
    <t>Amaryllidaceae</t>
  </si>
  <si>
    <t>Mini-potometer</t>
  </si>
  <si>
    <t>Gibbs_etal_1998_Aust J Plant Physiol</t>
  </si>
  <si>
    <t>Hypoxia</t>
  </si>
  <si>
    <t>Dubrovsky_etal_1998_New Phytol</t>
  </si>
  <si>
    <t>Drought rapid</t>
  </si>
  <si>
    <t>Drought gradual</t>
  </si>
  <si>
    <t>Tazawa_eatl_1997_J Plant Res</t>
  </si>
  <si>
    <t>Double-chamber osmometer</t>
  </si>
  <si>
    <t>North&amp;Nobel_1996_Ann Bot</t>
  </si>
  <si>
    <t>Opuntia ficus-indica</t>
  </si>
  <si>
    <t>main root + lateral root</t>
  </si>
  <si>
    <t>Frensch_etal_1996_Planta</t>
  </si>
  <si>
    <t>Steudle_etal_1993_Plant Physiol</t>
  </si>
  <si>
    <t>Wounding epidermis</t>
  </si>
  <si>
    <t>Wounded</t>
  </si>
  <si>
    <t>Peterson_etal_1993_Planta</t>
  </si>
  <si>
    <t>Melchior&amp;Steudle_1993_Plant Physiol</t>
  </si>
  <si>
    <t>Birner&amp;Steudle_1993_Planta</t>
  </si>
  <si>
    <t>Huang&amp;Nobel_1992_J Exp Biol</t>
  </si>
  <si>
    <t>lateral root</t>
  </si>
  <si>
    <t>Cruz_etal_1992_Plant Physiol</t>
  </si>
  <si>
    <t>Sorghum bicolor</t>
  </si>
  <si>
    <t>Sorghum</t>
  </si>
  <si>
    <t>Alm_etal_1992_Ann Bot</t>
  </si>
  <si>
    <t>Zhu_etal_1991_Plant Physiol</t>
  </si>
  <si>
    <t>Surface_measured_cm2</t>
  </si>
  <si>
    <t>North&amp;Nobel_1991_Am J Bot</t>
  </si>
  <si>
    <t>nodal root</t>
  </si>
  <si>
    <t>Lopez&amp;Nobel_1991_J Exp Biol</t>
  </si>
  <si>
    <t>Ferocactus acanthodes</t>
  </si>
  <si>
    <t>Ferocactus</t>
  </si>
  <si>
    <t>Azaizeh&amp;Steudle_1991_Plant Physiol</t>
  </si>
  <si>
    <t>Steudle&amp;Brinckmann_1989_Bot Acta</t>
  </si>
  <si>
    <t>Phaseolus</t>
  </si>
  <si>
    <t>Phaseolus coccineus</t>
  </si>
  <si>
    <t>Frensch&amp;Steudle_1989_Plant Physiol</t>
  </si>
  <si>
    <t>Steudle_etal_1987_Plant Physiol</t>
  </si>
  <si>
    <t>Nobel_etal_1993_J Exp Biol</t>
  </si>
  <si>
    <t>Agave mapisaga</t>
  </si>
  <si>
    <t>Agave salmiana</t>
  </si>
  <si>
    <t>Steudle&amp;Jeschke_1983_Planta</t>
  </si>
  <si>
    <t>Evlagon_etal_1990_Isr J Bot</t>
  </si>
  <si>
    <t>Gunse_etal_1997_Plant Physiol</t>
  </si>
  <si>
    <t>Knipfer&amp;Fricke_2011_J Exp Biol</t>
  </si>
  <si>
    <t>Bramley_etal_2009_Plant Physiol</t>
  </si>
  <si>
    <t>roots</t>
  </si>
  <si>
    <t>Root-zone O2</t>
  </si>
  <si>
    <t>Stagnant</t>
  </si>
  <si>
    <t>Gartwaite_etal_2006_J Exp Bot</t>
  </si>
  <si>
    <t>Hordeum marinum</t>
  </si>
  <si>
    <t>IR64</t>
  </si>
  <si>
    <t>Azucena</t>
  </si>
  <si>
    <t>101-14</t>
  </si>
  <si>
    <t>110R</t>
  </si>
  <si>
    <t>Hydroponics</t>
  </si>
  <si>
    <t>Aeroponics</t>
  </si>
  <si>
    <t>Morex</t>
  </si>
  <si>
    <t>Pakistan</t>
  </si>
  <si>
    <t>Osmotic stress</t>
  </si>
  <si>
    <t>420A</t>
  </si>
  <si>
    <t>1103P</t>
  </si>
  <si>
    <t>Phosphorus</t>
  </si>
  <si>
    <t>Drought_Nutrient limitation</t>
  </si>
  <si>
    <t>Value_type</t>
  </si>
  <si>
    <t>treatment average</t>
  </si>
  <si>
    <t>treatment min</t>
  </si>
  <si>
    <t>treatment max</t>
  </si>
  <si>
    <t>Adour 250</t>
  </si>
  <si>
    <t>BR 201 F</t>
  </si>
  <si>
    <t>ph4.5</t>
  </si>
  <si>
    <t>Puncturing</t>
  </si>
  <si>
    <t>Punctured</t>
  </si>
  <si>
    <t>Salt stress_Calcium</t>
  </si>
  <si>
    <t>Initial water flow</t>
  </si>
  <si>
    <t>Relaxations</t>
  </si>
  <si>
    <t>Constant water flow</t>
  </si>
  <si>
    <t>Crop woody</t>
  </si>
  <si>
    <t>Grünhofer_et_al_2021_Plant Methods</t>
  </si>
  <si>
    <t>P. alba x P. tremula</t>
  </si>
  <si>
    <t>BDT Boreal</t>
  </si>
  <si>
    <t>Vitis</t>
  </si>
  <si>
    <t>Infiltrated</t>
  </si>
  <si>
    <t>Hydrostatic</t>
  </si>
  <si>
    <t>Osmotic</t>
  </si>
  <si>
    <t>Driving_force</t>
  </si>
  <si>
    <t>BDT</t>
  </si>
  <si>
    <t>BET</t>
  </si>
  <si>
    <t>Crop legume</t>
  </si>
  <si>
    <t>Crop monocot</t>
  </si>
  <si>
    <t>Drought mild</t>
  </si>
  <si>
    <t>Drought severe</t>
  </si>
  <si>
    <t>Osmotic stress_Genotype</t>
  </si>
  <si>
    <t>AQP_Season</t>
  </si>
  <si>
    <t>Jan</t>
  </si>
  <si>
    <t>Apr</t>
  </si>
  <si>
    <t>Jun</t>
  </si>
  <si>
    <t>Sep</t>
  </si>
  <si>
    <t>AQP_Light intensity</t>
  </si>
  <si>
    <t>Low light</t>
  </si>
  <si>
    <t>Intermidiate light</t>
  </si>
  <si>
    <t>High light</t>
  </si>
  <si>
    <t>Shade to light</t>
  </si>
  <si>
    <t xml:space="preserve">AQP_Infiltration </t>
  </si>
  <si>
    <t>Al+</t>
  </si>
  <si>
    <t>ph_Al exposure_Genotype</t>
  </si>
  <si>
    <t>Drought_Age</t>
  </si>
  <si>
    <t>Young</t>
  </si>
  <si>
    <t>Old</t>
  </si>
  <si>
    <t>Calcium+</t>
  </si>
  <si>
    <t>AQPinhibition</t>
  </si>
  <si>
    <t>AQPenhancement</t>
  </si>
  <si>
    <t>Growth_form</t>
  </si>
  <si>
    <t>Tree</t>
  </si>
  <si>
    <t>Graminoid</t>
  </si>
  <si>
    <t>Other</t>
  </si>
  <si>
    <t>Meunier_etal_2018_J Plant Physiol</t>
  </si>
  <si>
    <t>Back-flow technique</t>
  </si>
  <si>
    <t>Jones_etal_1988_Planta</t>
  </si>
  <si>
    <t>Drought_Rootstock</t>
  </si>
  <si>
    <t>AQP_Rootstock</t>
  </si>
  <si>
    <t>Ktitorova_etal_2002_Russ J Plant Physiol</t>
  </si>
  <si>
    <t>Salt stress_Genotype</t>
  </si>
  <si>
    <t>Mironovskaya 808</t>
  </si>
  <si>
    <t>Belorusskaya 80</t>
  </si>
  <si>
    <t>Initial flow</t>
  </si>
  <si>
    <t>divided in 2 segments</t>
  </si>
  <si>
    <t>divided in 3 segments</t>
  </si>
  <si>
    <t>divided in 5 segments</t>
  </si>
  <si>
    <t>Root temperature</t>
  </si>
  <si>
    <t>Reduced temperature</t>
  </si>
  <si>
    <t>Tissera&amp;Ayres_1988_Physiol Mol Plant Pathol</t>
  </si>
  <si>
    <t>Vicia faba</t>
  </si>
  <si>
    <t>Vicia</t>
  </si>
  <si>
    <t>Rust infection</t>
  </si>
  <si>
    <t>Infested</t>
  </si>
  <si>
    <t>Measurement_method</t>
  </si>
  <si>
    <t>Root_type</t>
  </si>
  <si>
    <t>Experimental_treatment</t>
  </si>
  <si>
    <t>Treatment_level1</t>
  </si>
  <si>
    <t>Treatment_type1</t>
  </si>
  <si>
    <t>Shading</t>
  </si>
  <si>
    <t>Root epidermis</t>
  </si>
  <si>
    <t xml:space="preserve">Evolution genotype </t>
  </si>
  <si>
    <t>Genotype</t>
  </si>
  <si>
    <t>Culture_Genotype</t>
  </si>
  <si>
    <t>Culture</t>
  </si>
  <si>
    <t>Root length</t>
  </si>
  <si>
    <t>Method</t>
  </si>
  <si>
    <t>Treatment_type2</t>
  </si>
  <si>
    <t>Treatment_type3</t>
  </si>
  <si>
    <t>Treatment_level2</t>
  </si>
  <si>
    <t>Treatment_level3</t>
  </si>
  <si>
    <t>No treatment</t>
  </si>
  <si>
    <t>Broadleaf tree</t>
  </si>
  <si>
    <t>kr_kroot</t>
  </si>
  <si>
    <t>kr</t>
  </si>
  <si>
    <t>kroot</t>
  </si>
  <si>
    <t>Theoretical</t>
  </si>
  <si>
    <t>Bauget_et_al_2023_J Exp Bot</t>
  </si>
  <si>
    <t>Stress</t>
  </si>
  <si>
    <t>PFT</t>
  </si>
  <si>
    <t>Crop herbaceous</t>
  </si>
  <si>
    <t>PFT_level1</t>
  </si>
  <si>
    <t>PFT_level2</t>
  </si>
  <si>
    <t>C3 forb</t>
  </si>
  <si>
    <t>Crop dicot</t>
  </si>
  <si>
    <t>shoot-borne</t>
  </si>
  <si>
    <t>White lupin</t>
  </si>
  <si>
    <t>shoot-borne root</t>
  </si>
  <si>
    <t>Forb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</si>
</sst>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E+00"/>
  </numFmts>
  <fonts count="6" x14ac:knownFonts="1">
    <font>
      <sz val="11"/>
      <color theme="1"/>
      <name val="Calibri"/>
      <family val="2"/>
      <scheme val="minor"/>
    </font>
    <font>
      <b/>
      <sz val="9"/>
      <color indexed="81"/>
      <name val="Tahoma"/>
      <family val="2"/>
    </font>
    <font>
      <sz val="9"/>
      <color indexed="81"/>
      <name val="Tahoma"/>
      <family val="2"/>
    </font>
    <font>
      <sz val="8"/>
      <name val="Calibri"/>
      <family val="2"/>
      <scheme val="minor"/>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1" fontId="0" fillId="0" borderId="0" xfId="0" applyNumberFormat="1"/>
    <xf numFmtId="2" fontId="0" fillId="0" borderId="0" xfId="0" applyNumberFormat="1"/>
    <xf numFmtId="164" fontId="0" fillId="0" borderId="0" xfId="0" applyNumberFormat="1"/>
    <xf numFmtId="0" fontId="0" fillId="0" borderId="0" xfId="0" applyAlignment="1">
      <alignment vertical="center" wrapText="1"/>
    </xf>
    <xf numFmtId="1"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styles" Target="styles.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theme" Target="theme/theme1.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sharedStrings" Target="sharedStrings.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igitilized_data/kroot_kr/Bauget_etal_2023_Fig8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igitilized_data/kroot_kr/Johnson_etal_2014_Fig3b.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igitilized_data/kroot_kr/Johnson_etal_2014_Fig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igitilized_data/kroot_kr/Fricke_etal_2014_Fig2c.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igitilized_data/kroot_kr/Fricke_etal_2014_Fig2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igitilized_data/kroot_kr/Suku_etal_2013_Fig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digitilized_data/kroot_kr/Gambetta_etal_2013_Fig3a.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igitilized_data/kroot_kr/Gambetta_etal_2012_Fig4.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digitilized_data/kroot_kr/Almeida-Rodriguez_etal_2011_Fig1b.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digitilized_data/kroot_kr/Almeida-Rodriguez_etal_2011_Fig2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digitilized_data/kroot_kr/Pratt_etal_2010_Fig3a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igitilized_data/kroot_kr/Cuneo_etal_2021_Fig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digitilized_data/kroot_kr/Pratt_etal_2010_Fig3bf.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digitilized_data/kroot_kr/Katsuhara&amp;Shibasaka_2007_Fig2.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digitilized_data/kroot_kr/Fan_etal_2007_Fig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digitilized_data/kroot_kr/Bramley_etal_2007_Fig4.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digitilized_data/kroot_kr/Mu_etal_2006_Fig1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digitilized_data/kroot_kr/North_etal_2004_Fig2.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North_etal_2004_Fig5.xlsx" TargetMode="External"/><Relationship Id="rId1" Type="http://schemas.openxmlformats.org/officeDocument/2006/relationships/externalLinkPath" Target="digitilized_data/kroot_kr/North_etal_2004_Fig5.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digitilized_data/kroot_kr/Martre_etal_2001_Fig3.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digitilized_data/kroot_kr/Martre_etal_2001_Fig5.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digitilized_data/kroot_kr/North&amp;Nobel_2000_Fig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igitilized_data/kroot_kr/Kresizies_etal_2020_Fig1.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digitilized_data/kroot_kr/Barrowclough_etal_2000_Fig3a.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digitilized_data/kroot_kr/Dubrovsky_etal_1998_Fig4.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digitilized_data/kroot_kr/North&amp;Nobel_1996_Fig2a.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digitilized_data/kroot_kr/North&amp;Nobel_1996_Fig3.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digitilized_data/kroot_kr/Frensch_etal_1996_Fig2a.xlsx" TargetMode="External"/></Relationships>
</file>

<file path=xl/externalLinks/_rels/externalLink35.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Nobel_etal_1993_Fig4a.xlsx" TargetMode="External"/><Relationship Id="rId1" Type="http://schemas.openxmlformats.org/officeDocument/2006/relationships/externalLinkPath" Target="digitilized_data/kroot_kr/Nobel_etal_1993_Fig4a.xlsx" TargetMode="External"/></Relationships>
</file>

<file path=xl/externalLinks/_rels/externalLink36.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Nobel_etal_1993_Fig4c.xlsx" TargetMode="External"/><Relationship Id="rId1" Type="http://schemas.openxmlformats.org/officeDocument/2006/relationships/externalLinkPath" Target="digitilized_data/kroot_kr/Nobel_etal_1993_Fig4c.xlsx" TargetMode="External"/></Relationships>
</file>

<file path=xl/externalLinks/_rels/externalLink37.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Melchior&amp;Steudle_1993_Fig4d.xlsx" TargetMode="External"/><Relationship Id="rId1" Type="http://schemas.openxmlformats.org/officeDocument/2006/relationships/externalLinkPath" Target="digitilized_data/kroot_kr/Melchior&amp;Steudle_1993_Fig4d.xlsx" TargetMode="External"/></Relationships>
</file>

<file path=xl/externalLinks/_rels/externalLink38.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Huang&amp;Nobel_1992_Fig2.xlsx" TargetMode="External"/><Relationship Id="rId1" Type="http://schemas.openxmlformats.org/officeDocument/2006/relationships/externalLinkPath" Target="digitilized_data/kroot_kr/Huang&amp;Nobel_1992_Fig2.xlsx" TargetMode="External"/></Relationships>
</file>

<file path=xl/externalLinks/_rels/externalLink39.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Huang&amp;Nobel_1992_Fig3_rad.xlsx" TargetMode="External"/><Relationship Id="rId1" Type="http://schemas.openxmlformats.org/officeDocument/2006/relationships/externalLinkPath" Target="digitilized_data/kroot_kr/Huang&amp;Nobel_1992_Fig3_ra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igitilized_data/kroot_kr/Ding_etal_2020_Fig3.xlsx" TargetMode="External"/></Relationships>
</file>

<file path=xl/externalLinks/_rels/externalLink40.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Huang&amp;Nobel_1992_Fig6_rad.xlsx" TargetMode="External"/><Relationship Id="rId1" Type="http://schemas.openxmlformats.org/officeDocument/2006/relationships/externalLinkPath" Target="digitilized_data/kroot_kr/Huang&amp;Nobel_1992_Fig6_rad.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digitilized_data/kroot_kr/North&amp;Nobel_1991_Fig1.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digitilized_data/kroot_kr/Lopez&amp;Nobel_1991_Fig2a.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digitilized_data/kroot_kr/Lopez&amp;Nobel_1991_Fig2b.xlsx" TargetMode="External"/></Relationships>
</file>

<file path=xl/externalLinks/_rels/externalLink44.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Frensch&amp;Steudle_1989_Fig3a.xlsx" TargetMode="External"/><Relationship Id="rId1" Type="http://schemas.openxmlformats.org/officeDocument/2006/relationships/externalLinkPath" Target="digitilized_data/kroot_kr/Frensch&amp;Steudle_1989_Fig3a.xlsx" TargetMode="External"/></Relationships>
</file>

<file path=xl/externalLinks/_rels/externalLink45.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Frensch&amp;Steudle_1989_Fig3b.xlsx" TargetMode="External"/><Relationship Id="rId1" Type="http://schemas.openxmlformats.org/officeDocument/2006/relationships/externalLinkPath" Target="digitilized_data/kroot_kr/Frensch&amp;Steudle_1989_Fig3b.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digitilized_data/kroot_kr/Jones_etal_1988_Fig1b.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digitilized_data/kroot_kr/Jones_etal_1988_Fig1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Meunier_etal_2018_Fig4a.xlsx" TargetMode="External"/><Relationship Id="rId1" Type="http://schemas.openxmlformats.org/officeDocument/2006/relationships/externalLinkPath" Target="digitilized_data/kroot_kr/Meunier_etal_2018_Fig4a.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Meunier_etal_2018_Fig4c.xlsx" TargetMode="External"/><Relationship Id="rId1" Type="http://schemas.openxmlformats.org/officeDocument/2006/relationships/externalLinkPath" Target="digitilized_data/kroot_kr/Meunier_etal_2018_Fig4c.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Meunier_etal_2018_Fig5a.xlsx" TargetMode="External"/><Relationship Id="rId1" Type="http://schemas.openxmlformats.org/officeDocument/2006/relationships/externalLinkPath" Target="digitilized_data/kroot_kr/Meunier_etal_2018_Fig5a.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j.baca\sciebo\literature%20review\root_hydraulic_properties\database\digitilized_data\kroot_kr\Meunier_etal_2018_Fig5c.xlsx" TargetMode="External"/><Relationship Id="rId1" Type="http://schemas.openxmlformats.org/officeDocument/2006/relationships/externalLinkPath" Target="digitilized_data/kroot_kr/Meunier_etal_2018_Fig5c.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igitilized_data/kroot_kr/Johnson_etal_2014_Fig3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ow r="2">
          <cell r="B2">
            <v>2.8224299065420501E-7</v>
          </cell>
        </row>
        <row r="3">
          <cell r="B3">
            <v>2.5545171339563901E-8</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hnson_etal_2014_Fig3b"/>
    </sheetNames>
    <sheetDataSet>
      <sheetData sheetId="0">
        <row r="2">
          <cell r="B2">
            <v>2.4503937007874E-9</v>
          </cell>
        </row>
        <row r="3">
          <cell r="B3">
            <v>1.9023622047244002E-9</v>
          </cell>
        </row>
        <row r="4">
          <cell r="B4">
            <v>1.31653543307086E-9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hnson_etal_2014_Fig4"/>
    </sheetNames>
    <sheetDataSet>
      <sheetData sheetId="0">
        <row r="2">
          <cell r="B2">
            <v>30.340236686390501</v>
          </cell>
        </row>
        <row r="3">
          <cell r="B3">
            <v>12.011834319526599</v>
          </cell>
        </row>
        <row r="4">
          <cell r="B4">
            <v>22.1597633136094</v>
          </cell>
        </row>
        <row r="5">
          <cell r="B5">
            <v>29.097633136094601</v>
          </cell>
        </row>
        <row r="6">
          <cell r="B6">
            <v>57.884615384615302</v>
          </cell>
        </row>
        <row r="7">
          <cell r="B7">
            <v>50.118343195266199</v>
          </cell>
        </row>
        <row r="8">
          <cell r="B8">
            <v>16.0502958579881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icke_etal_2014_Fig2c"/>
    </sheetNames>
    <sheetDataSet>
      <sheetData sheetId="0">
        <row r="2">
          <cell r="B2">
            <v>6.5089722675366997E-8</v>
          </cell>
        </row>
        <row r="3">
          <cell r="B3">
            <v>2.3491027732463301E-8</v>
          </cell>
        </row>
        <row r="4">
          <cell r="B4">
            <v>3.0016313213703103E-8</v>
          </cell>
        </row>
        <row r="5">
          <cell r="B5">
            <v>3.1810766721044E-8</v>
          </cell>
        </row>
        <row r="6">
          <cell r="B6">
            <v>2.67536704730832E-8</v>
          </cell>
        </row>
        <row r="7">
          <cell r="B7">
            <v>1.46818923327895E-8</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icke_etal_2014_Fig2b"/>
    </sheetNames>
    <sheetDataSet>
      <sheetData sheetId="0">
        <row r="2">
          <cell r="B2">
            <v>0.42258064516129001</v>
          </cell>
        </row>
        <row r="3">
          <cell r="B3">
            <v>0.44838709677419297</v>
          </cell>
        </row>
        <row r="4">
          <cell r="B4">
            <v>0.41935483870967699</v>
          </cell>
        </row>
        <row r="5">
          <cell r="B5">
            <v>0.44677419354838699</v>
          </cell>
        </row>
        <row r="6">
          <cell r="B6">
            <v>0.793548387096773</v>
          </cell>
        </row>
        <row r="7">
          <cell r="B7">
            <v>0.62419354838709595</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ku_etal_2013_Fig5"/>
    </sheetNames>
    <sheetDataSet>
      <sheetData sheetId="0">
        <row r="2">
          <cell r="B2">
            <v>2.0674955595026601E-7</v>
          </cell>
        </row>
        <row r="3">
          <cell r="B3">
            <v>2.0035523978685601E-7</v>
          </cell>
        </row>
        <row r="4">
          <cell r="B4">
            <v>2.2877442273534599E-7</v>
          </cell>
        </row>
        <row r="5">
          <cell r="B5">
            <v>2.9982238010657098E-7</v>
          </cell>
        </row>
        <row r="6">
          <cell r="B6">
            <v>2.47246891651864E-7</v>
          </cell>
        </row>
        <row r="7">
          <cell r="B7">
            <v>2.4866785079928898E-7</v>
          </cell>
        </row>
        <row r="8">
          <cell r="B8">
            <v>2.2999999999999999E-7</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mbetta_etal_2013_Fig3a"/>
    </sheetNames>
    <sheetDataSet>
      <sheetData sheetId="0">
        <row r="2">
          <cell r="B2">
            <v>5.6071428571428502E-7</v>
          </cell>
        </row>
        <row r="3">
          <cell r="B3">
            <v>4.1071428571428499E-8</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mbetta_etal_2012_Fig4"/>
    </sheetNames>
    <sheetDataSet>
      <sheetData sheetId="0">
        <row r="2">
          <cell r="B2">
            <v>5.6098310291858599E-8</v>
          </cell>
        </row>
        <row r="3">
          <cell r="B3">
            <v>4.3195084485406998E-8</v>
          </cell>
        </row>
        <row r="4">
          <cell r="B4">
            <v>8.4976958525345597E-8</v>
          </cell>
        </row>
        <row r="5">
          <cell r="B5">
            <v>7.3763440860214995E-8</v>
          </cell>
        </row>
        <row r="6">
          <cell r="B6">
            <v>5.3640552995391602E-8</v>
          </cell>
        </row>
        <row r="7">
          <cell r="B7">
            <v>3.3056835637480801E-8</v>
          </cell>
        </row>
        <row r="8">
          <cell r="B8">
            <v>5.0107526881720398E-8</v>
          </cell>
        </row>
        <row r="9">
          <cell r="B9">
            <v>5.8863287250384003E-8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meida-Rodriguez_etal_2011_Fig"/>
    </sheetNames>
    <sheetDataSet>
      <sheetData sheetId="0">
        <row r="2">
          <cell r="B2">
            <v>2.0531249999999899E-5</v>
          </cell>
        </row>
        <row r="3">
          <cell r="B3">
            <v>1.05937499999999E-5</v>
          </cell>
        </row>
        <row r="5">
          <cell r="B5">
            <v>1.8562500000000001E-5</v>
          </cell>
        </row>
        <row r="6">
          <cell r="B6">
            <v>8.1562499999999696E-6</v>
          </cell>
        </row>
        <row r="8">
          <cell r="B8">
            <v>2.1749999999999898E-5</v>
          </cell>
        </row>
        <row r="9">
          <cell r="B9">
            <v>1.1249999999999901E-5</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meida-Rodriguez_etal_2011_Fig"/>
    </sheetNames>
    <sheetDataSet>
      <sheetData sheetId="0">
        <row r="2">
          <cell r="B2">
            <v>2.7619047619047599E-6</v>
          </cell>
        </row>
        <row r="3">
          <cell r="B3">
            <v>9.7619047619047594E-7</v>
          </cell>
        </row>
        <row r="4">
          <cell r="B4">
            <v>9.0238095238095194E-6</v>
          </cell>
        </row>
        <row r="5">
          <cell r="B5">
            <v>2.5952380952380899E-6</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att_etal_2010_Fig3ae"/>
    </sheetNames>
    <sheetDataSet>
      <sheetData sheetId="0">
        <row r="2">
          <cell r="B2">
            <v>1.4178217821782101E-7</v>
          </cell>
        </row>
        <row r="3">
          <cell r="B3">
            <v>3.8019801980197702E-8</v>
          </cell>
        </row>
        <row r="4">
          <cell r="B4">
            <v>5.7029702970297099E-8</v>
          </cell>
        </row>
        <row r="5">
          <cell r="B5">
            <v>2.3920792079207899E-7</v>
          </cell>
        </row>
        <row r="6">
          <cell r="B6">
            <v>1.27524752475247E-7</v>
          </cell>
        </row>
        <row r="7">
          <cell r="B7">
            <v>8.7920792079207702E-8</v>
          </cell>
        </row>
        <row r="8">
          <cell r="B8">
            <v>2.6930693069306899E-7</v>
          </cell>
        </row>
        <row r="9">
          <cell r="B9">
            <v>5.2277227722772097E-8</v>
          </cell>
        </row>
        <row r="10">
          <cell r="B10">
            <v>1.1009900990099E-7</v>
          </cell>
        </row>
        <row r="11">
          <cell r="B11">
            <v>2.4237623762376198E-7</v>
          </cell>
        </row>
        <row r="12">
          <cell r="B12">
            <v>1.5049504950495E-7</v>
          </cell>
        </row>
        <row r="13">
          <cell r="B13">
            <v>1.02970297029702E-7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neo_etal_2021_Fig5"/>
    </sheetNames>
    <sheetDataSet>
      <sheetData sheetId="0">
        <row r="2">
          <cell r="B2">
            <v>8.3999999999999892E-9</v>
          </cell>
        </row>
        <row r="3">
          <cell r="B3">
            <v>9.8736842105263099E-9</v>
          </cell>
        </row>
        <row r="4">
          <cell r="B4">
            <v>2.5707602339181299E-9</v>
          </cell>
        </row>
        <row r="6">
          <cell r="B6">
            <v>6.0584795321637396E-9</v>
          </cell>
        </row>
        <row r="7">
          <cell r="B7">
            <v>3.29122807017543E-9</v>
          </cell>
        </row>
        <row r="8">
          <cell r="B8">
            <v>2.4888888888888899E-9</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att_etal_2010_Fig3bf"/>
    </sheetNames>
    <sheetDataSet>
      <sheetData sheetId="0">
        <row r="2">
          <cell r="B2">
            <v>1.7425742574257499E-7</v>
          </cell>
        </row>
        <row r="3">
          <cell r="B3">
            <v>1.5920792079208E-7</v>
          </cell>
        </row>
        <row r="4">
          <cell r="B4">
            <v>1.2118811881188099E-7</v>
          </cell>
        </row>
        <row r="5">
          <cell r="B5">
            <v>3.3821782178217998E-7</v>
          </cell>
        </row>
        <row r="6">
          <cell r="B6">
            <v>2.3049504950495101E-7</v>
          </cell>
        </row>
        <row r="7">
          <cell r="B7">
            <v>2.28118811881189E-7</v>
          </cell>
        </row>
        <row r="8">
          <cell r="B8">
            <v>2.6138613861386199E-7</v>
          </cell>
        </row>
        <row r="9">
          <cell r="B9">
            <v>2.33663366336635E-7</v>
          </cell>
        </row>
        <row r="10">
          <cell r="B10">
            <v>1.21188118811882E-7</v>
          </cell>
        </row>
        <row r="11">
          <cell r="B11">
            <v>3.4059405940594198E-7</v>
          </cell>
        </row>
        <row r="12">
          <cell r="B12">
            <v>2.33663366336634E-7</v>
          </cell>
        </row>
        <row r="13">
          <cell r="B13">
            <v>2.3762376237623901E-7</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atsuhara&amp;Shibasaka_2007_Fig2"/>
    </sheetNames>
    <sheetDataSet>
      <sheetData sheetId="0">
        <row r="2">
          <cell r="B2">
            <v>1.06447638603696E-7</v>
          </cell>
        </row>
        <row r="3">
          <cell r="B3">
            <v>1.40616016427104E-7</v>
          </cell>
        </row>
        <row r="4">
          <cell r="B4">
            <v>9.0020533880903501E-8</v>
          </cell>
        </row>
        <row r="5">
          <cell r="B5">
            <v>5.7823408624229902E-8</v>
          </cell>
        </row>
        <row r="6">
          <cell r="B6">
            <v>6.5051334702258697E-8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n_etal_2007_Fig1"/>
    </sheetNames>
    <sheetDataSet>
      <sheetData sheetId="0">
        <row r="2">
          <cell r="C2">
            <v>1.0654827968923417E-7</v>
          </cell>
        </row>
        <row r="3">
          <cell r="C3">
            <v>1.798002219755825E-7</v>
          </cell>
        </row>
        <row r="4">
          <cell r="C4">
            <v>2.5823159452460219E-7</v>
          </cell>
        </row>
        <row r="5">
          <cell r="C5">
            <v>2.2937476877543442E-7</v>
          </cell>
        </row>
        <row r="6">
          <cell r="C6">
            <v>9.5449500554938887E-8</v>
          </cell>
        </row>
        <row r="7">
          <cell r="C7">
            <v>1.5094339622641499E-7</v>
          </cell>
        </row>
        <row r="8">
          <cell r="C8">
            <v>1.4280429152793166E-7</v>
          </cell>
        </row>
        <row r="9">
          <cell r="C9">
            <v>1.3688494265630778E-7</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mley_etal_2007_Fig4"/>
    </sheetNames>
    <sheetDataSet>
      <sheetData sheetId="0">
        <row r="2">
          <cell r="B2">
            <v>1.77503974562798E-7</v>
          </cell>
        </row>
        <row r="3">
          <cell r="B3">
            <v>4.8410174880763001E-8</v>
          </cell>
        </row>
        <row r="4">
          <cell r="B4">
            <v>2.05882352941176E-8</v>
          </cell>
        </row>
        <row r="5">
          <cell r="B5">
            <v>1.5969793322734399E-7</v>
          </cell>
        </row>
        <row r="6">
          <cell r="B6">
            <v>6.0651828298887094E-8</v>
          </cell>
        </row>
        <row r="7">
          <cell r="B7">
            <v>2.61526232114466E-8</v>
          </cell>
        </row>
        <row r="8">
          <cell r="B8">
            <v>1.9197138314785299E-7</v>
          </cell>
        </row>
        <row r="9">
          <cell r="B9">
            <v>8.0127186009538901E-8</v>
          </cell>
        </row>
        <row r="10">
          <cell r="B10">
            <v>8.1240063593004704E-8</v>
          </cell>
        </row>
        <row r="11">
          <cell r="B11">
            <v>3.2774244833068302E-7</v>
          </cell>
        </row>
        <row r="12">
          <cell r="B12">
            <v>1.5023847376788499E-7</v>
          </cell>
        </row>
        <row r="13">
          <cell r="B13">
            <v>3.1717011128775801E-8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_etal_2006_Fig1a"/>
    </sheetNames>
    <sheetDataSet>
      <sheetData sheetId="0">
        <row r="2">
          <cell r="B2">
            <v>9.6649484536082404E-8</v>
          </cell>
        </row>
        <row r="3">
          <cell r="B3">
            <v>2.08762886597938E-8</v>
          </cell>
        </row>
        <row r="4">
          <cell r="B4">
            <v>4.21391752577319E-8</v>
          </cell>
        </row>
        <row r="5">
          <cell r="B5">
            <v>1.99097938144329E-7</v>
          </cell>
        </row>
        <row r="6">
          <cell r="B6">
            <v>3.6340206185566899E-8</v>
          </cell>
        </row>
        <row r="7">
          <cell r="B7">
            <v>7.5773195876288597E-8</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_etal_2004_Fig2"/>
    </sheetNames>
    <sheetDataSet>
      <sheetData sheetId="0">
        <row r="2">
          <cell r="B2">
            <v>1.60553633217993E-7</v>
          </cell>
        </row>
        <row r="3">
          <cell r="B3">
            <v>8.0968858131487998E-8</v>
          </cell>
        </row>
        <row r="4">
          <cell r="B4">
            <v>6.5051903114186895E-8</v>
          </cell>
        </row>
        <row r="5">
          <cell r="B5">
            <v>7.9584775086505197E-8</v>
          </cell>
        </row>
        <row r="8">
          <cell r="B8">
            <v>1.32179930795847E-7</v>
          </cell>
        </row>
        <row r="9">
          <cell r="B9">
            <v>1.51557093425605E-7</v>
          </cell>
        </row>
        <row r="10">
          <cell r="B10">
            <v>6.3667820069204094E-8</v>
          </cell>
        </row>
        <row r="11">
          <cell r="B11">
            <v>5.2595155709342503E-8</v>
          </cell>
        </row>
        <row r="14">
          <cell r="B14">
            <v>2.36301369863013E-7</v>
          </cell>
        </row>
        <row r="15">
          <cell r="B15">
            <v>1.52054794520547E-7</v>
          </cell>
        </row>
        <row r="16">
          <cell r="B16">
            <v>1.7191780821917799E-7</v>
          </cell>
        </row>
        <row r="17">
          <cell r="B17">
            <v>1.7260273972602699E-7</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rth_etal_2004_Fig5"/>
    </sheetNames>
    <sheetDataSet>
      <sheetData sheetId="0">
        <row r="2">
          <cell r="B2">
            <v>2.10280373831775E-7</v>
          </cell>
        </row>
        <row r="3">
          <cell r="B3">
            <v>9.1121495327102798E-8</v>
          </cell>
        </row>
        <row r="4">
          <cell r="B4">
            <v>1.3888888888888901E-7</v>
          </cell>
        </row>
        <row r="5">
          <cell r="B5">
            <v>1.59722222222222E-7</v>
          </cell>
        </row>
        <row r="6">
          <cell r="B6">
            <v>2.57142857142856E-7</v>
          </cell>
        </row>
        <row r="7">
          <cell r="B7">
            <v>1.63507109004739E-7</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3"/>
    </sheetNames>
    <sheetDataSet>
      <sheetData sheetId="0">
        <row r="2">
          <cell r="B2">
            <v>3.8828828828828801E-7</v>
          </cell>
        </row>
        <row r="3">
          <cell r="B3">
            <v>2.6576576576576503E-7</v>
          </cell>
        </row>
        <row r="4">
          <cell r="B4">
            <v>1.5855855855855801E-7</v>
          </cell>
        </row>
        <row r="5">
          <cell r="B5">
            <v>1.6396396396396301E-7</v>
          </cell>
        </row>
        <row r="6">
          <cell r="B6">
            <v>5.6706443914081203E-7</v>
          </cell>
        </row>
        <row r="7">
          <cell r="B7">
            <v>5.9713603818615702E-7</v>
          </cell>
        </row>
        <row r="8">
          <cell r="B8">
            <v>1.56085918854415E-7</v>
          </cell>
        </row>
        <row r="9">
          <cell r="B9">
            <v>1.60381861575178E-7</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tre_etal_2001_Fig5"/>
    </sheetNames>
    <sheetDataSet>
      <sheetData sheetId="0">
        <row r="2">
          <cell r="B2">
            <v>3.47328244274809E-7</v>
          </cell>
        </row>
        <row r="3">
          <cell r="B3">
            <v>6.6793893129770905E-8</v>
          </cell>
        </row>
        <row r="4">
          <cell r="B4">
            <v>8.0818965517241303E-7</v>
          </cell>
        </row>
        <row r="5">
          <cell r="B5">
            <v>1.6163793103448101E-7</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amp;Nobel_2000_Fig4"/>
    </sheetNames>
    <sheetDataSet>
      <sheetData sheetId="0">
        <row r="2">
          <cell r="B2">
            <v>1.4791666666666601E-7</v>
          </cell>
        </row>
        <row r="3">
          <cell r="B3">
            <v>7.0535714285714204E-8</v>
          </cell>
        </row>
        <row r="4">
          <cell r="B4">
            <v>5.4166666666666602E-8</v>
          </cell>
        </row>
        <row r="5">
          <cell r="B5">
            <v>4.8809523809523802E-8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resizies_etal_2020_Fig1"/>
    </sheetNames>
    <sheetDataSet>
      <sheetData sheetId="0">
        <row r="2">
          <cell r="B2">
            <v>21.2470588235294</v>
          </cell>
        </row>
        <row r="3">
          <cell r="B3">
            <v>16.058823529411701</v>
          </cell>
        </row>
        <row r="4">
          <cell r="B4">
            <v>26.847058823529402</v>
          </cell>
        </row>
        <row r="5">
          <cell r="B5">
            <v>21.905882352941099</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rrowclough_etal_2000_Fig3a"/>
    </sheetNames>
    <sheetDataSet>
      <sheetData sheetId="0">
        <row r="2">
          <cell r="B2">
            <v>1.4870317002881801E-7</v>
          </cell>
        </row>
        <row r="3">
          <cell r="B3">
            <v>2.3948126801152702E-7</v>
          </cell>
        </row>
        <row r="4">
          <cell r="B4">
            <v>2.7925072046109502E-7</v>
          </cell>
        </row>
        <row r="5">
          <cell r="B5">
            <v>8.6455331412103802E-8</v>
          </cell>
        </row>
        <row r="6">
          <cell r="B6">
            <v>8.6455331412103696E-8</v>
          </cell>
        </row>
        <row r="7">
          <cell r="B7">
            <v>7.3487031700288097E-8</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ubrovsky_etal_1998_Fig4"/>
    </sheetNames>
    <sheetDataSet>
      <sheetData sheetId="0">
        <row r="2">
          <cell r="B2">
            <v>2.42530755711775E-7</v>
          </cell>
        </row>
        <row r="3">
          <cell r="B3">
            <v>1.14938488576449E-7</v>
          </cell>
        </row>
        <row r="5">
          <cell r="B5">
            <v>1.3339191564147599E-7</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amp;Nobel_1996_Fig2a"/>
    </sheetNames>
    <sheetDataSet>
      <sheetData sheetId="0">
        <row r="2">
          <cell r="B2">
            <v>1.8146341463414599E-7</v>
          </cell>
        </row>
        <row r="3">
          <cell r="B3">
            <v>1.45853658536585E-7</v>
          </cell>
        </row>
        <row r="5">
          <cell r="B5">
            <v>2.3853658536585298E-7</v>
          </cell>
        </row>
        <row r="6">
          <cell r="B6">
            <v>4.2926829268292703E-8</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amp;Nobel_1996_Fig3"/>
    </sheetNames>
    <sheetDataSet>
      <sheetData sheetId="0">
        <row r="2">
          <cell r="A2">
            <v>1.8421052631578901E-7</v>
          </cell>
        </row>
        <row r="3">
          <cell r="A3">
            <v>1.7204301075268699E-7</v>
          </cell>
        </row>
        <row r="5">
          <cell r="A5">
            <v>2.4736842105263099E-7</v>
          </cell>
        </row>
        <row r="6">
          <cell r="A6">
            <v>3.7634408602150298E-8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ensch_etal_1996_Fig2a"/>
    </sheetNames>
    <sheetDataSet>
      <sheetData sheetId="0">
        <row r="2">
          <cell r="B2">
            <v>2.3500771936526101E-7</v>
          </cell>
        </row>
        <row r="3">
          <cell r="B3">
            <v>2.0639991086918401E-7</v>
          </cell>
        </row>
        <row r="4">
          <cell r="B4">
            <v>2.6422989383883199E-7</v>
          </cell>
        </row>
        <row r="5">
          <cell r="B5">
            <v>4.70557567466065E-8</v>
          </cell>
        </row>
        <row r="6">
          <cell r="B6">
            <v>2.1905478208773601E-8</v>
          </cell>
        </row>
        <row r="7">
          <cell r="B7">
            <v>1.08525448432496E-8</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bel_etal_1993_Fig4a"/>
    </sheetNames>
    <sheetDataSet>
      <sheetData sheetId="0">
        <row r="2">
          <cell r="B2">
            <v>1</v>
          </cell>
          <cell r="C2">
            <v>6.73684210526316E-8</v>
          </cell>
        </row>
        <row r="3">
          <cell r="B3">
            <v>2</v>
          </cell>
          <cell r="C3">
            <v>2.1333333333333299E-7</v>
          </cell>
        </row>
        <row r="4">
          <cell r="B4">
            <v>4</v>
          </cell>
          <cell r="C4">
            <v>2.5543859649122798E-7</v>
          </cell>
        </row>
        <row r="5">
          <cell r="B5">
            <v>6</v>
          </cell>
          <cell r="C5">
            <v>1.9368421052631501E-7</v>
          </cell>
        </row>
        <row r="6">
          <cell r="B6">
            <v>8</v>
          </cell>
          <cell r="C6">
            <v>1.09473684210526E-7</v>
          </cell>
        </row>
        <row r="7">
          <cell r="B7">
            <v>12</v>
          </cell>
          <cell r="C7">
            <v>8.42105263157895E-8</v>
          </cell>
        </row>
        <row r="8">
          <cell r="B8">
            <v>16</v>
          </cell>
          <cell r="C8">
            <v>2.66666666666667E-8</v>
          </cell>
        </row>
        <row r="9">
          <cell r="B9">
            <v>1</v>
          </cell>
          <cell r="C9">
            <v>7.8596491228070297E-8</v>
          </cell>
        </row>
        <row r="10">
          <cell r="B10">
            <v>2</v>
          </cell>
          <cell r="C10">
            <v>2.25964912280701E-7</v>
          </cell>
        </row>
        <row r="11">
          <cell r="B11">
            <v>4</v>
          </cell>
          <cell r="C11">
            <v>2.8210526315789398E-7</v>
          </cell>
        </row>
        <row r="12">
          <cell r="B12">
            <v>6</v>
          </cell>
          <cell r="C12">
            <v>1.7964912280701701E-7</v>
          </cell>
        </row>
        <row r="13">
          <cell r="B13">
            <v>8</v>
          </cell>
          <cell r="C13">
            <v>8.42105263157895E-8</v>
          </cell>
        </row>
        <row r="14">
          <cell r="B14">
            <v>12</v>
          </cell>
          <cell r="C14">
            <v>7.2982456140350803E-8</v>
          </cell>
        </row>
        <row r="15">
          <cell r="B15">
            <v>16</v>
          </cell>
          <cell r="C15">
            <v>3.36842105263158E-8</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bel_etal_1993_Fig4c"/>
    </sheetNames>
    <sheetDataSet>
      <sheetData sheetId="0">
        <row r="2">
          <cell r="B2">
            <v>1</v>
          </cell>
          <cell r="C2">
            <v>2.8062827225130702E-7</v>
          </cell>
        </row>
        <row r="3">
          <cell r="B3">
            <v>2</v>
          </cell>
          <cell r="C3">
            <v>2.9319371727748501E-7</v>
          </cell>
        </row>
        <row r="4">
          <cell r="B4">
            <v>4</v>
          </cell>
          <cell r="C4">
            <v>4.0418848167539E-7</v>
          </cell>
        </row>
        <row r="5">
          <cell r="B5">
            <v>6</v>
          </cell>
          <cell r="C5">
            <v>3.22513089005233E-7</v>
          </cell>
        </row>
        <row r="6">
          <cell r="B6">
            <v>8</v>
          </cell>
          <cell r="C6">
            <v>2.8272251308900298E-7</v>
          </cell>
        </row>
        <row r="7">
          <cell r="B7">
            <v>12</v>
          </cell>
          <cell r="C7">
            <v>1.3193717277486599E-7</v>
          </cell>
        </row>
        <row r="8">
          <cell r="B8">
            <v>16</v>
          </cell>
          <cell r="C8">
            <v>5.0261780104710398E-8</v>
          </cell>
        </row>
        <row r="9">
          <cell r="B9">
            <v>1</v>
          </cell>
          <cell r="C9">
            <v>3.4345549738219599E-7</v>
          </cell>
        </row>
        <row r="10">
          <cell r="B10">
            <v>2</v>
          </cell>
          <cell r="C10">
            <v>3.4973821989528598E-7</v>
          </cell>
        </row>
        <row r="11">
          <cell r="B11">
            <v>4</v>
          </cell>
          <cell r="C11">
            <v>4.5863874345549501E-7</v>
          </cell>
        </row>
        <row r="12">
          <cell r="B12">
            <v>6</v>
          </cell>
          <cell r="C12">
            <v>3.0994764397905502E-7</v>
          </cell>
        </row>
        <row r="13">
          <cell r="B13">
            <v>8</v>
          </cell>
          <cell r="C13">
            <v>2.3036649214659501E-7</v>
          </cell>
        </row>
        <row r="14">
          <cell r="B14">
            <v>12</v>
          </cell>
          <cell r="C14">
            <v>1.08900523560207E-7</v>
          </cell>
        </row>
        <row r="15">
          <cell r="B15">
            <v>16</v>
          </cell>
          <cell r="C15">
            <v>7.5392670157066404E-8</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lchior&amp;Steudle_1993_Fig4d"/>
    </sheetNames>
    <sheetDataSet>
      <sheetData sheetId="0">
        <row r="11">
          <cell r="D11">
            <v>1.2749335161986299E-7</v>
          </cell>
        </row>
        <row r="20">
          <cell r="D20">
            <v>8.8427637190787603E-8</v>
          </cell>
        </row>
        <row r="27">
          <cell r="D27">
            <v>4.0855341283513803E-8</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uang&amp;Nobel_1992_Fig2"/>
    </sheetNames>
    <sheetDataSet>
      <sheetData sheetId="0">
        <row r="2">
          <cell r="A2">
            <v>6</v>
          </cell>
          <cell r="B2">
            <v>4.7055837563451702E-7</v>
          </cell>
        </row>
        <row r="3">
          <cell r="A3">
            <v>12</v>
          </cell>
          <cell r="B3">
            <v>3.8756345177664899E-7</v>
          </cell>
        </row>
        <row r="4">
          <cell r="A4">
            <v>18</v>
          </cell>
          <cell r="B4">
            <v>2.4670050761421302E-7</v>
          </cell>
        </row>
        <row r="5">
          <cell r="A5">
            <v>24</v>
          </cell>
          <cell r="B5">
            <v>2.0482233502538E-7</v>
          </cell>
        </row>
        <row r="6">
          <cell r="A6">
            <v>30</v>
          </cell>
          <cell r="B6">
            <v>1.6370558375634499E-7</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uang&amp;Nobel_1992_Fig3"/>
    </sheetNames>
    <sheetDataSet>
      <sheetData sheetId="0">
        <row r="2">
          <cell r="D2">
            <v>5.6241263762565803E-7</v>
          </cell>
        </row>
        <row r="5">
          <cell r="D5">
            <v>3.6889385316383837E-7</v>
          </cell>
        </row>
        <row r="6">
          <cell r="D6">
            <v>1.7014839636189499E-7</v>
          </cell>
        </row>
        <row r="7">
          <cell r="D7">
            <v>6.4096590606882595E-7</v>
          </cell>
        </row>
        <row r="10">
          <cell r="D10">
            <v>4.2609506586529029E-7</v>
          </cell>
        </row>
        <row r="11">
          <cell r="D11">
            <v>1.7256103398755301E-7</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ng_etal_2020_Fig3"/>
    </sheetNames>
    <sheetDataSet>
      <sheetData sheetId="0">
        <row r="2">
          <cell r="B2">
            <v>2.6666666666666601E-6</v>
          </cell>
        </row>
        <row r="3">
          <cell r="B3">
            <v>2.95069033530571E-6</v>
          </cell>
        </row>
        <row r="4">
          <cell r="B4">
            <v>1.98412698412699E-6</v>
          </cell>
        </row>
        <row r="5">
          <cell r="B5">
            <v>2.55555555555556E-6</v>
          </cell>
        </row>
        <row r="6">
          <cell r="B6">
            <v>1.18121442125237E-6</v>
          </cell>
        </row>
        <row r="7">
          <cell r="B7">
            <v>5.0284629981024705E-7</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uang&amp;Nobel_1992_Fig6"/>
    </sheetNames>
    <sheetDataSet>
      <sheetData sheetId="0">
        <row r="3">
          <cell r="C3">
            <v>3.167002526948785E-7</v>
          </cell>
        </row>
        <row r="5">
          <cell r="C5">
            <v>2.5720500271886796E-7</v>
          </cell>
        </row>
        <row r="7">
          <cell r="C7">
            <v>1.95369583396163E-7</v>
          </cell>
        </row>
        <row r="9">
          <cell r="C9">
            <v>3.7342179938859699E-7</v>
          </cell>
        </row>
        <row r="11">
          <cell r="C11">
            <v>2.8521620720066101E-7</v>
          </cell>
        </row>
        <row r="13">
          <cell r="C13">
            <v>2.0972532569308248E-7</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th&amp;Nobel_1991_Fig1"/>
    </sheetNames>
    <sheetDataSet>
      <sheetData sheetId="0">
        <row r="2">
          <cell r="B2">
            <v>2.1402616279069699E-7</v>
          </cell>
        </row>
        <row r="3">
          <cell r="B3">
            <v>3.7063953488372101E-8</v>
          </cell>
        </row>
        <row r="4">
          <cell r="B4">
            <v>1.9949127906976701E-7</v>
          </cell>
        </row>
        <row r="5">
          <cell r="B5">
            <v>1.9985465116279101E-8</v>
          </cell>
        </row>
        <row r="6">
          <cell r="B6">
            <v>3.1249999999999999E-8</v>
          </cell>
        </row>
        <row r="7">
          <cell r="B7">
            <v>3.6337209302329599E-10</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pez&amp;Nobel_1991_Fig2a"/>
    </sheetNames>
    <sheetDataSet>
      <sheetData sheetId="0">
        <row r="2">
          <cell r="B2">
            <v>1.1902439024390201E-7</v>
          </cell>
        </row>
        <row r="3">
          <cell r="B3">
            <v>1.9902439024390201E-7</v>
          </cell>
        </row>
        <row r="4">
          <cell r="B4">
            <v>2.6048780487804801E-7</v>
          </cell>
        </row>
        <row r="5">
          <cell r="B5">
            <v>3.8926829268292602E-7</v>
          </cell>
        </row>
        <row r="6">
          <cell r="B6">
            <v>3.4926829268292598E-7</v>
          </cell>
        </row>
        <row r="7">
          <cell r="B7">
            <v>3.2000000000000001E-7</v>
          </cell>
        </row>
        <row r="8">
          <cell r="B8">
            <v>2.4780487804877999E-7</v>
          </cell>
        </row>
        <row r="9">
          <cell r="B9">
            <v>1.9999999999999999E-7</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pez&amp;Nobel_1991_Fig2b"/>
    </sheetNames>
    <sheetDataSet>
      <sheetData sheetId="0">
        <row r="2">
          <cell r="B2">
            <v>9.8780487804878005E-8</v>
          </cell>
        </row>
        <row r="3">
          <cell r="B3">
            <v>2.8902439024390199E-7</v>
          </cell>
        </row>
        <row r="4">
          <cell r="B4">
            <v>3.28048780487804E-7</v>
          </cell>
        </row>
        <row r="5">
          <cell r="B5">
            <v>5.1585365853658503E-7</v>
          </cell>
        </row>
        <row r="6">
          <cell r="B6">
            <v>4.7195121951219502E-7</v>
          </cell>
        </row>
        <row r="7">
          <cell r="B7">
            <v>2.58536585365853E-7</v>
          </cell>
        </row>
        <row r="8">
          <cell r="B8">
            <v>1.08536585365853E-7</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ensch&amp;Steudle_1989_Fig3a"/>
    </sheetNames>
    <sheetDataSet>
      <sheetData sheetId="0">
        <row r="9">
          <cell r="C9">
            <v>2.19662454679605E-7</v>
          </cell>
        </row>
        <row r="10">
          <cell r="C10">
            <v>2.4773016896811153E-7</v>
          </cell>
        </row>
        <row r="11">
          <cell r="C11">
            <v>2.70582544196546E-7</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rensch&amp;Steudle_1989_Fig3b"/>
    </sheetNames>
    <sheetDataSet>
      <sheetData sheetId="0">
        <row r="9">
          <cell r="C9">
            <v>3.7625142664574398E-10</v>
          </cell>
        </row>
        <row r="10">
          <cell r="C10">
            <v>1.1597000405971759E-8</v>
          </cell>
        </row>
        <row r="11">
          <cell r="C11">
            <v>5.1362609248492897E-8</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nes_etal_1988_Fig1b"/>
    </sheetNames>
    <sheetDataSet>
      <sheetData sheetId="0">
        <row r="7">
          <cell r="E7">
            <v>8.9999999999999995E-9</v>
          </cell>
        </row>
        <row r="8">
          <cell r="E8">
            <v>2.0097734308812946E-8</v>
          </cell>
        </row>
        <row r="9">
          <cell r="E9">
            <v>4.8E-8</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nes_etal_1988_Fig1a"/>
    </sheetNames>
    <sheetDataSet>
      <sheetData sheetId="0">
        <row r="14">
          <cell r="E14">
            <v>1.6000000000000001E-8</v>
          </cell>
        </row>
        <row r="15">
          <cell r="E15">
            <v>3.6353630591615678E-8</v>
          </cell>
        </row>
        <row r="16">
          <cell r="E16">
            <v>5.5000000000000003E-8</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unier_etal_2018_Fig4a"/>
    </sheetNames>
    <sheetDataSet>
      <sheetData sheetId="0">
        <row r="2">
          <cell r="B2">
            <v>29.999999999999901</v>
          </cell>
          <cell r="D2">
            <v>1.0667016784323692E-10</v>
          </cell>
        </row>
        <row r="3">
          <cell r="B3">
            <v>29.999999999999901</v>
          </cell>
          <cell r="D3">
            <v>1.2033259033512385E-10</v>
          </cell>
        </row>
        <row r="4">
          <cell r="B4">
            <v>29.999999999999901</v>
          </cell>
          <cell r="D4">
            <v>1.3115026880095951E-10</v>
          </cell>
        </row>
        <row r="5">
          <cell r="B5">
            <v>20</v>
          </cell>
          <cell r="D5">
            <v>8.239203321147188E-11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unier_etal_2018_Fig4a"/>
    </sheetNames>
    <sheetDataSet>
      <sheetData sheetId="0">
        <row r="3">
          <cell r="E3">
            <v>3.7157803946646465E-8</v>
          </cell>
        </row>
        <row r="5">
          <cell r="E5">
            <v>1.9889706583598147E-8</v>
          </cell>
        </row>
        <row r="7">
          <cell r="E7">
            <v>5.6006802569119905E-8</v>
          </cell>
        </row>
        <row r="9">
          <cell r="E9">
            <v>2.704013309040232E-9</v>
          </cell>
        </row>
        <row r="11">
          <cell r="E11">
            <v>5.4689614509107411E-8</v>
          </cell>
        </row>
        <row r="13">
          <cell r="E13">
            <v>4.641511676450382E-8</v>
          </cell>
        </row>
        <row r="15">
          <cell r="E15">
            <v>6.537688771362963E-8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unier_etal_2018_Fig5b"/>
    </sheetNames>
    <sheetDataSet>
      <sheetData sheetId="0">
        <row r="2">
          <cell r="A2">
            <v>14.3852459016393</v>
          </cell>
          <cell r="C2">
            <v>8.0568287894093746E-11</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eunier_etal_2018_Fig5b"/>
    </sheetNames>
    <sheetDataSet>
      <sheetData sheetId="0">
        <row r="2">
          <cell r="C2">
            <v>5.034196848564074E-8</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hnson_etal_2014_Fig3a"/>
    </sheetNames>
    <sheetDataSet>
      <sheetData sheetId="0">
        <row r="2">
          <cell r="B2">
            <v>1.5675675675675601E-8</v>
          </cell>
        </row>
        <row r="3">
          <cell r="B3">
            <v>2.3333333333333301E-8</v>
          </cell>
        </row>
        <row r="4">
          <cell r="B4">
            <v>4.0990990990990898E-8</v>
          </cell>
        </row>
        <row r="5">
          <cell r="B5">
            <v>3.81081081081081E-8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B082-C322-4A78-B56F-A3AAFBFAC7A5}">
  <dimension ref="A1:AB498"/>
  <sheetViews>
    <sheetView tabSelected="1" zoomScale="85" zoomScaleNormal="85" workbookViewId="0">
      <pane ySplit="1" topLeftCell="A114" activePane="bottomLeft" state="frozen"/>
      <selection activeCell="A6" sqref="A6"/>
      <selection pane="bottomLeft" activeCell="I137" sqref="I137:I142"/>
    </sheetView>
  </sheetViews>
  <sheetFormatPr defaultRowHeight="14.5" x14ac:dyDescent="0.35"/>
  <cols>
    <col min="1" max="1" width="47.54296875" bestFit="1" customWidth="1"/>
    <col min="2" max="2" width="29.81640625" customWidth="1"/>
    <col min="3" max="3" width="12.81640625" customWidth="1"/>
    <col min="4" max="4" width="17.81640625" customWidth="1"/>
    <col min="5" max="5" width="15.453125" customWidth="1"/>
    <col min="6" max="6" width="16.1796875" customWidth="1"/>
    <col min="7" max="7" width="22.26953125" bestFit="1" customWidth="1"/>
    <col min="8" max="9" width="17.54296875" customWidth="1"/>
    <col min="10" max="10" width="16.54296875" customWidth="1"/>
    <col min="11" max="11" width="27.453125" bestFit="1" customWidth="1"/>
    <col min="12" max="12" width="21.453125" bestFit="1" customWidth="1"/>
    <col min="13" max="13" width="21.453125" customWidth="1"/>
    <col min="14" max="14" width="31.453125" bestFit="1" customWidth="1"/>
    <col min="15" max="15" width="31.453125" customWidth="1"/>
    <col min="16" max="17" width="15.453125" customWidth="1"/>
    <col min="18" max="18" width="36.453125" customWidth="1"/>
    <col min="19" max="19" width="23" bestFit="1" customWidth="1"/>
    <col min="20" max="20" width="23.81640625" customWidth="1"/>
    <col min="21" max="22" width="21.81640625" customWidth="1"/>
    <col min="23" max="23" width="12.1796875" customWidth="1"/>
    <col min="24" max="24" width="24.81640625" bestFit="1" customWidth="1"/>
    <col min="25" max="25" width="29" customWidth="1"/>
    <col min="26" max="26" width="19" style="2" customWidth="1"/>
    <col min="27" max="27" width="26.81640625" bestFit="1" customWidth="1"/>
    <col min="28" max="28" width="8.54296875" bestFit="1" customWidth="1"/>
  </cols>
  <sheetData>
    <row r="1" spans="1:28" x14ac:dyDescent="0.35">
      <c r="A1" t="s">
        <v>0</v>
      </c>
      <c r="B1" t="s">
        <v>1</v>
      </c>
      <c r="C1" t="s">
        <v>2</v>
      </c>
      <c r="D1" t="s">
        <v>3</v>
      </c>
      <c r="E1" t="s">
        <v>4</v>
      </c>
      <c r="F1" t="s">
        <v>291</v>
      </c>
      <c r="G1" t="s">
        <v>292</v>
      </c>
      <c r="H1" t="s">
        <v>289</v>
      </c>
      <c r="I1" t="s">
        <v>240</v>
      </c>
      <c r="J1" t="s">
        <v>5</v>
      </c>
      <c r="K1" t="s">
        <v>266</v>
      </c>
      <c r="L1" t="s">
        <v>267</v>
      </c>
      <c r="M1" t="s">
        <v>268</v>
      </c>
      <c r="N1" t="s">
        <v>279</v>
      </c>
      <c r="O1" t="s">
        <v>277</v>
      </c>
      <c r="P1" t="s">
        <v>280</v>
      </c>
      <c r="Q1" t="s">
        <v>278</v>
      </c>
      <c r="R1" t="s">
        <v>192</v>
      </c>
      <c r="S1" t="s">
        <v>265</v>
      </c>
      <c r="T1" t="s">
        <v>6</v>
      </c>
      <c r="U1" t="s">
        <v>213</v>
      </c>
      <c r="V1" t="s">
        <v>7</v>
      </c>
      <c r="W1" t="s">
        <v>285</v>
      </c>
      <c r="X1" t="s">
        <v>154</v>
      </c>
      <c r="Y1" t="s">
        <v>27</v>
      </c>
      <c r="Z1" s="2" t="s">
        <v>8</v>
      </c>
      <c r="AA1" t="s">
        <v>264</v>
      </c>
      <c r="AB1" t="s">
        <v>283</v>
      </c>
    </row>
    <row r="2" spans="1:28" x14ac:dyDescent="0.35">
      <c r="A2" t="s">
        <v>287</v>
      </c>
      <c r="B2" t="s">
        <v>19</v>
      </c>
      <c r="C2" t="s">
        <v>20</v>
      </c>
      <c r="D2" t="s">
        <v>11</v>
      </c>
      <c r="E2" t="s">
        <v>14</v>
      </c>
      <c r="F2" t="s">
        <v>15</v>
      </c>
      <c r="G2" t="s">
        <v>15</v>
      </c>
      <c r="H2" t="s">
        <v>15</v>
      </c>
      <c r="I2" t="s">
        <v>242</v>
      </c>
      <c r="J2">
        <f>4+7</f>
        <v>11</v>
      </c>
      <c r="K2" t="s">
        <v>113</v>
      </c>
      <c r="L2" t="s">
        <v>16</v>
      </c>
      <c r="M2" t="s">
        <v>16</v>
      </c>
      <c r="R2" t="s">
        <v>193</v>
      </c>
      <c r="S2" t="s">
        <v>29</v>
      </c>
      <c r="T2" t="s">
        <v>31</v>
      </c>
      <c r="U2" t="s">
        <v>211</v>
      </c>
      <c r="W2" s="1">
        <f>[1]Sheet1!B2</f>
        <v>2.8224299065420501E-7</v>
      </c>
      <c r="Z2" s="2">
        <v>1.05</v>
      </c>
      <c r="AA2" t="s">
        <v>52</v>
      </c>
      <c r="AB2" t="s">
        <v>284</v>
      </c>
    </row>
    <row r="3" spans="1:28" x14ac:dyDescent="0.35">
      <c r="A3" t="s">
        <v>287</v>
      </c>
      <c r="B3" t="s">
        <v>19</v>
      </c>
      <c r="C3" t="s">
        <v>20</v>
      </c>
      <c r="D3" t="s">
        <v>11</v>
      </c>
      <c r="E3" t="s">
        <v>14</v>
      </c>
      <c r="F3" t="s">
        <v>15</v>
      </c>
      <c r="G3" t="s">
        <v>15</v>
      </c>
      <c r="H3" t="s">
        <v>15</v>
      </c>
      <c r="I3" t="s">
        <v>242</v>
      </c>
      <c r="J3">
        <v>11</v>
      </c>
      <c r="K3" t="s">
        <v>113</v>
      </c>
      <c r="L3" t="s">
        <v>113</v>
      </c>
      <c r="M3" t="s">
        <v>288</v>
      </c>
      <c r="R3" t="s">
        <v>193</v>
      </c>
      <c r="S3" t="s">
        <v>29</v>
      </c>
      <c r="T3" t="s">
        <v>31</v>
      </c>
      <c r="U3" t="s">
        <v>211</v>
      </c>
      <c r="W3" s="1">
        <f>[1]Sheet1!B3</f>
        <v>2.5545171339563901E-8</v>
      </c>
      <c r="Z3" s="2">
        <v>1.03</v>
      </c>
      <c r="AA3" t="s">
        <v>52</v>
      </c>
      <c r="AB3" t="s">
        <v>284</v>
      </c>
    </row>
    <row r="4" spans="1:28" x14ac:dyDescent="0.35">
      <c r="A4" t="s">
        <v>206</v>
      </c>
      <c r="B4" t="s">
        <v>207</v>
      </c>
      <c r="C4" t="s">
        <v>57</v>
      </c>
      <c r="D4" t="s">
        <v>58</v>
      </c>
      <c r="E4" t="s">
        <v>12</v>
      </c>
      <c r="F4" t="s">
        <v>208</v>
      </c>
      <c r="G4" t="s">
        <v>214</v>
      </c>
      <c r="H4" t="s">
        <v>282</v>
      </c>
      <c r="I4" t="s">
        <v>241</v>
      </c>
      <c r="J4">
        <f>5*7</f>
        <v>35</v>
      </c>
      <c r="K4" t="s">
        <v>281</v>
      </c>
      <c r="L4" t="s">
        <v>281</v>
      </c>
      <c r="M4" t="s">
        <v>281</v>
      </c>
      <c r="R4" t="s">
        <v>193</v>
      </c>
      <c r="S4" t="s">
        <v>44</v>
      </c>
      <c r="T4" t="s">
        <v>31</v>
      </c>
      <c r="U4" t="s">
        <v>211</v>
      </c>
      <c r="W4" s="1">
        <v>5.5000000000000003E-8</v>
      </c>
      <c r="Y4">
        <v>13</v>
      </c>
      <c r="AA4" t="s">
        <v>21</v>
      </c>
      <c r="AB4" t="s">
        <v>285</v>
      </c>
    </row>
    <row r="5" spans="1:28" x14ac:dyDescent="0.35">
      <c r="A5" t="s">
        <v>206</v>
      </c>
      <c r="B5" t="s">
        <v>207</v>
      </c>
      <c r="C5" t="s">
        <v>57</v>
      </c>
      <c r="D5" t="s">
        <v>58</v>
      </c>
      <c r="E5" t="s">
        <v>12</v>
      </c>
      <c r="F5" t="s">
        <v>208</v>
      </c>
      <c r="G5" t="s">
        <v>214</v>
      </c>
      <c r="H5" t="s">
        <v>282</v>
      </c>
      <c r="I5" t="s">
        <v>241</v>
      </c>
      <c r="J5">
        <f>5*7</f>
        <v>35</v>
      </c>
      <c r="K5" t="s">
        <v>281</v>
      </c>
      <c r="L5" t="s">
        <v>281</v>
      </c>
      <c r="M5" t="s">
        <v>281</v>
      </c>
      <c r="R5" t="s">
        <v>193</v>
      </c>
      <c r="S5" t="s">
        <v>44</v>
      </c>
      <c r="T5" t="s">
        <v>31</v>
      </c>
      <c r="U5" t="s">
        <v>212</v>
      </c>
      <c r="W5" s="1">
        <v>2.7999999999999999E-8</v>
      </c>
      <c r="Y5">
        <v>13</v>
      </c>
      <c r="AA5" t="s">
        <v>21</v>
      </c>
      <c r="AB5" t="s">
        <v>285</v>
      </c>
    </row>
    <row r="6" spans="1:28" x14ac:dyDescent="0.35">
      <c r="A6" t="s">
        <v>22</v>
      </c>
      <c r="B6" t="s">
        <v>47</v>
      </c>
      <c r="C6" t="s">
        <v>209</v>
      </c>
      <c r="D6" t="s">
        <v>17</v>
      </c>
      <c r="E6" t="s">
        <v>12</v>
      </c>
      <c r="F6" t="s">
        <v>205</v>
      </c>
      <c r="G6" t="s">
        <v>205</v>
      </c>
      <c r="H6" t="s">
        <v>205</v>
      </c>
      <c r="I6" t="s">
        <v>294</v>
      </c>
      <c r="K6" t="s">
        <v>247</v>
      </c>
      <c r="L6" t="s">
        <v>16</v>
      </c>
      <c r="M6" t="str">
        <f t="shared" ref="M6:M25" si="0">+IF(L6="Control","Control","Stress")</f>
        <v>Control</v>
      </c>
      <c r="N6" t="s">
        <v>181</v>
      </c>
      <c r="O6" t="s">
        <v>243</v>
      </c>
      <c r="R6" t="s">
        <v>193</v>
      </c>
      <c r="S6" t="s">
        <v>23</v>
      </c>
      <c r="T6" t="s">
        <v>26</v>
      </c>
      <c r="U6" t="s">
        <v>212</v>
      </c>
      <c r="W6" s="1">
        <f>[2]Cuneo_etal_2021_Fig5!B2</f>
        <v>8.3999999999999892E-9</v>
      </c>
      <c r="Z6"/>
      <c r="AA6" t="s">
        <v>24</v>
      </c>
      <c r="AB6" t="s">
        <v>285</v>
      </c>
    </row>
    <row r="7" spans="1:28" x14ac:dyDescent="0.35">
      <c r="A7" t="s">
        <v>22</v>
      </c>
      <c r="B7" t="s">
        <v>47</v>
      </c>
      <c r="C7" t="s">
        <v>209</v>
      </c>
      <c r="D7" t="s">
        <v>17</v>
      </c>
      <c r="E7" t="s">
        <v>12</v>
      </c>
      <c r="F7" t="s">
        <v>205</v>
      </c>
      <c r="G7" t="s">
        <v>205</v>
      </c>
      <c r="H7" t="s">
        <v>205</v>
      </c>
      <c r="I7" t="s">
        <v>294</v>
      </c>
      <c r="K7" t="s">
        <v>247</v>
      </c>
      <c r="L7" t="s">
        <v>218</v>
      </c>
      <c r="M7" t="str">
        <f t="shared" si="0"/>
        <v>Stress</v>
      </c>
      <c r="N7" t="s">
        <v>181</v>
      </c>
      <c r="O7" t="s">
        <v>243</v>
      </c>
      <c r="R7" t="s">
        <v>193</v>
      </c>
      <c r="S7" t="s">
        <v>23</v>
      </c>
      <c r="T7" t="s">
        <v>26</v>
      </c>
      <c r="U7" t="s">
        <v>212</v>
      </c>
      <c r="W7" s="1">
        <f>[2]Cuneo_etal_2021_Fig5!B3</f>
        <v>9.8736842105263099E-9</v>
      </c>
      <c r="Z7"/>
      <c r="AA7" t="s">
        <v>24</v>
      </c>
      <c r="AB7" t="s">
        <v>285</v>
      </c>
    </row>
    <row r="8" spans="1:28" x14ac:dyDescent="0.35">
      <c r="A8" t="s">
        <v>22</v>
      </c>
      <c r="B8" t="s">
        <v>47</v>
      </c>
      <c r="C8" t="s">
        <v>209</v>
      </c>
      <c r="D8" t="s">
        <v>17</v>
      </c>
      <c r="E8" t="s">
        <v>12</v>
      </c>
      <c r="F8" t="s">
        <v>205</v>
      </c>
      <c r="G8" t="s">
        <v>205</v>
      </c>
      <c r="H8" t="s">
        <v>205</v>
      </c>
      <c r="I8" t="s">
        <v>294</v>
      </c>
      <c r="K8" t="s">
        <v>247</v>
      </c>
      <c r="L8" t="s">
        <v>219</v>
      </c>
      <c r="M8" t="str">
        <f t="shared" si="0"/>
        <v>Stress</v>
      </c>
      <c r="N8" t="s">
        <v>181</v>
      </c>
      <c r="O8" t="s">
        <v>243</v>
      </c>
      <c r="R8" t="s">
        <v>193</v>
      </c>
      <c r="S8" t="s">
        <v>23</v>
      </c>
      <c r="T8" t="s">
        <v>26</v>
      </c>
      <c r="U8" t="s">
        <v>212</v>
      </c>
      <c r="W8" s="1">
        <f>[2]Cuneo_etal_2021_Fig5!B4</f>
        <v>2.5707602339181299E-9</v>
      </c>
      <c r="Z8"/>
      <c r="AA8" t="s">
        <v>24</v>
      </c>
      <c r="AB8" t="s">
        <v>285</v>
      </c>
    </row>
    <row r="9" spans="1:28" x14ac:dyDescent="0.35">
      <c r="A9" t="s">
        <v>22</v>
      </c>
      <c r="B9" t="s">
        <v>47</v>
      </c>
      <c r="C9" t="s">
        <v>209</v>
      </c>
      <c r="D9" t="s">
        <v>17</v>
      </c>
      <c r="E9" t="s">
        <v>12</v>
      </c>
      <c r="F9" t="s">
        <v>205</v>
      </c>
      <c r="G9" t="s">
        <v>205</v>
      </c>
      <c r="H9" t="s">
        <v>205</v>
      </c>
      <c r="I9" t="s">
        <v>294</v>
      </c>
      <c r="K9" t="s">
        <v>247</v>
      </c>
      <c r="L9" t="s">
        <v>16</v>
      </c>
      <c r="M9" t="str">
        <f t="shared" si="0"/>
        <v>Control</v>
      </c>
      <c r="N9" t="s">
        <v>182</v>
      </c>
      <c r="O9" t="s">
        <v>243</v>
      </c>
      <c r="R9" t="s">
        <v>193</v>
      </c>
      <c r="S9" t="s">
        <v>23</v>
      </c>
      <c r="T9" t="s">
        <v>26</v>
      </c>
      <c r="U9" t="s">
        <v>212</v>
      </c>
      <c r="W9" s="1">
        <f>[2]Cuneo_etal_2021_Fig5!B6</f>
        <v>6.0584795321637396E-9</v>
      </c>
      <c r="Z9"/>
      <c r="AA9" t="s">
        <v>24</v>
      </c>
      <c r="AB9" t="s">
        <v>285</v>
      </c>
    </row>
    <row r="10" spans="1:28" x14ac:dyDescent="0.35">
      <c r="A10" t="s">
        <v>22</v>
      </c>
      <c r="B10" t="s">
        <v>47</v>
      </c>
      <c r="C10" t="s">
        <v>209</v>
      </c>
      <c r="D10" t="s">
        <v>17</v>
      </c>
      <c r="E10" t="s">
        <v>12</v>
      </c>
      <c r="F10" t="s">
        <v>205</v>
      </c>
      <c r="G10" t="s">
        <v>205</v>
      </c>
      <c r="H10" t="s">
        <v>205</v>
      </c>
      <c r="I10" t="s">
        <v>294</v>
      </c>
      <c r="K10" t="s">
        <v>247</v>
      </c>
      <c r="L10" t="s">
        <v>218</v>
      </c>
      <c r="M10" t="str">
        <f t="shared" si="0"/>
        <v>Stress</v>
      </c>
      <c r="N10" t="s">
        <v>182</v>
      </c>
      <c r="O10" t="s">
        <v>243</v>
      </c>
      <c r="R10" t="s">
        <v>193</v>
      </c>
      <c r="S10" t="s">
        <v>23</v>
      </c>
      <c r="T10" t="s">
        <v>26</v>
      </c>
      <c r="U10" t="s">
        <v>212</v>
      </c>
      <c r="W10" s="1">
        <f>[2]Cuneo_etal_2021_Fig5!B7</f>
        <v>3.29122807017543E-9</v>
      </c>
      <c r="Z10"/>
      <c r="AA10" t="s">
        <v>24</v>
      </c>
      <c r="AB10" t="s">
        <v>285</v>
      </c>
    </row>
    <row r="11" spans="1:28" x14ac:dyDescent="0.35">
      <c r="A11" t="s">
        <v>22</v>
      </c>
      <c r="B11" t="s">
        <v>47</v>
      </c>
      <c r="C11" t="s">
        <v>209</v>
      </c>
      <c r="D11" t="s">
        <v>17</v>
      </c>
      <c r="E11" t="s">
        <v>12</v>
      </c>
      <c r="F11" t="s">
        <v>205</v>
      </c>
      <c r="G11" t="s">
        <v>205</v>
      </c>
      <c r="H11" t="s">
        <v>205</v>
      </c>
      <c r="I11" t="s">
        <v>294</v>
      </c>
      <c r="K11" t="s">
        <v>247</v>
      </c>
      <c r="L11" t="s">
        <v>219</v>
      </c>
      <c r="M11" t="str">
        <f t="shared" si="0"/>
        <v>Stress</v>
      </c>
      <c r="N11" t="s">
        <v>182</v>
      </c>
      <c r="O11" t="s">
        <v>243</v>
      </c>
      <c r="R11" t="s">
        <v>193</v>
      </c>
      <c r="S11" t="s">
        <v>23</v>
      </c>
      <c r="T11" t="s">
        <v>26</v>
      </c>
      <c r="U11" t="s">
        <v>212</v>
      </c>
      <c r="W11" s="1">
        <f>[2]Cuneo_etal_2021_Fig5!B8</f>
        <v>2.4888888888888899E-9</v>
      </c>
      <c r="Z11"/>
      <c r="AA11" t="s">
        <v>24</v>
      </c>
      <c r="AB11" t="s">
        <v>285</v>
      </c>
    </row>
    <row r="12" spans="1:28" x14ac:dyDescent="0.35">
      <c r="A12" t="s">
        <v>30</v>
      </c>
      <c r="B12" t="s">
        <v>9</v>
      </c>
      <c r="C12" t="s">
        <v>10</v>
      </c>
      <c r="D12" t="s">
        <v>11</v>
      </c>
      <c r="E12" t="s">
        <v>12</v>
      </c>
      <c r="F12" t="s">
        <v>13</v>
      </c>
      <c r="G12" t="s">
        <v>13</v>
      </c>
      <c r="H12" t="s">
        <v>13</v>
      </c>
      <c r="I12" t="s">
        <v>242</v>
      </c>
      <c r="J12">
        <v>12</v>
      </c>
      <c r="K12" t="s">
        <v>220</v>
      </c>
      <c r="L12" t="s">
        <v>16</v>
      </c>
      <c r="M12" t="str">
        <f t="shared" si="0"/>
        <v>Control</v>
      </c>
      <c r="N12" t="s">
        <v>185</v>
      </c>
      <c r="O12" t="s">
        <v>243</v>
      </c>
      <c r="R12" t="s">
        <v>193</v>
      </c>
      <c r="S12" t="s">
        <v>25</v>
      </c>
      <c r="T12" t="s">
        <v>26</v>
      </c>
      <c r="U12" t="s">
        <v>211</v>
      </c>
      <c r="W12" s="1">
        <v>9.7500000000000006E-8</v>
      </c>
      <c r="Y12" s="3">
        <f>[3]Kresizies_etal_2020_Fig1!B2</f>
        <v>21.2470588235294</v>
      </c>
      <c r="Z12"/>
      <c r="AA12" t="s">
        <v>21</v>
      </c>
      <c r="AB12" t="s">
        <v>285</v>
      </c>
    </row>
    <row r="13" spans="1:28" x14ac:dyDescent="0.35">
      <c r="A13" t="s">
        <v>30</v>
      </c>
      <c r="B13" t="s">
        <v>9</v>
      </c>
      <c r="C13" t="s">
        <v>10</v>
      </c>
      <c r="D13" t="s">
        <v>11</v>
      </c>
      <c r="E13" t="s">
        <v>12</v>
      </c>
      <c r="F13" t="s">
        <v>13</v>
      </c>
      <c r="G13" t="s">
        <v>13</v>
      </c>
      <c r="H13" t="s">
        <v>13</v>
      </c>
      <c r="I13" t="s">
        <v>242</v>
      </c>
      <c r="J13">
        <v>12</v>
      </c>
      <c r="K13" t="s">
        <v>220</v>
      </c>
      <c r="L13" t="s">
        <v>187</v>
      </c>
      <c r="M13" t="str">
        <f t="shared" si="0"/>
        <v>Stress</v>
      </c>
      <c r="N13" t="s">
        <v>185</v>
      </c>
      <c r="O13" t="s">
        <v>243</v>
      </c>
      <c r="R13" t="s">
        <v>193</v>
      </c>
      <c r="S13" t="s">
        <v>25</v>
      </c>
      <c r="T13" t="s">
        <v>26</v>
      </c>
      <c r="U13" t="s">
        <v>211</v>
      </c>
      <c r="W13" s="1">
        <v>3.3899999999999999E-8</v>
      </c>
      <c r="Y13" s="3">
        <f>[3]Kresizies_etal_2020_Fig1!B3</f>
        <v>16.058823529411701</v>
      </c>
      <c r="Z13"/>
      <c r="AA13" t="s">
        <v>21</v>
      </c>
      <c r="AB13" t="s">
        <v>285</v>
      </c>
    </row>
    <row r="14" spans="1:28" x14ac:dyDescent="0.35">
      <c r="A14" t="s">
        <v>30</v>
      </c>
      <c r="B14" t="s">
        <v>9</v>
      </c>
      <c r="C14" t="s">
        <v>10</v>
      </c>
      <c r="D14" t="s">
        <v>11</v>
      </c>
      <c r="E14" t="s">
        <v>12</v>
      </c>
      <c r="F14" t="s">
        <v>13</v>
      </c>
      <c r="G14" t="s">
        <v>13</v>
      </c>
      <c r="H14" t="s">
        <v>13</v>
      </c>
      <c r="I14" t="s">
        <v>242</v>
      </c>
      <c r="J14">
        <v>12</v>
      </c>
      <c r="K14" t="s">
        <v>220</v>
      </c>
      <c r="L14" t="s">
        <v>16</v>
      </c>
      <c r="M14" t="str">
        <f t="shared" si="0"/>
        <v>Control</v>
      </c>
      <c r="N14" t="s">
        <v>186</v>
      </c>
      <c r="O14" t="s">
        <v>243</v>
      </c>
      <c r="R14" t="s">
        <v>193</v>
      </c>
      <c r="S14" t="s">
        <v>25</v>
      </c>
      <c r="T14" t="s">
        <v>26</v>
      </c>
      <c r="U14" t="s">
        <v>211</v>
      </c>
      <c r="W14" s="1">
        <v>6.2900000000000001E-8</v>
      </c>
      <c r="Y14" s="3">
        <f>[3]Kresizies_etal_2020_Fig1!B4</f>
        <v>26.847058823529402</v>
      </c>
      <c r="Z14"/>
      <c r="AA14" t="s">
        <v>21</v>
      </c>
      <c r="AB14" t="s">
        <v>285</v>
      </c>
    </row>
    <row r="15" spans="1:28" x14ac:dyDescent="0.35">
      <c r="A15" t="s">
        <v>30</v>
      </c>
      <c r="B15" t="s">
        <v>9</v>
      </c>
      <c r="C15" t="s">
        <v>10</v>
      </c>
      <c r="D15" t="s">
        <v>11</v>
      </c>
      <c r="E15" t="s">
        <v>12</v>
      </c>
      <c r="F15" t="s">
        <v>13</v>
      </c>
      <c r="G15" t="s">
        <v>13</v>
      </c>
      <c r="H15" t="s">
        <v>13</v>
      </c>
      <c r="I15" t="s">
        <v>242</v>
      </c>
      <c r="J15">
        <v>12</v>
      </c>
      <c r="K15" t="s">
        <v>220</v>
      </c>
      <c r="L15" t="s">
        <v>187</v>
      </c>
      <c r="M15" t="str">
        <f t="shared" si="0"/>
        <v>Stress</v>
      </c>
      <c r="N15" t="s">
        <v>186</v>
      </c>
      <c r="O15" t="s">
        <v>243</v>
      </c>
      <c r="R15" t="s">
        <v>193</v>
      </c>
      <c r="S15" t="s">
        <v>25</v>
      </c>
      <c r="T15" t="s">
        <v>26</v>
      </c>
      <c r="U15" t="s">
        <v>211</v>
      </c>
      <c r="W15" s="1">
        <v>6.4900000000000005E-8</v>
      </c>
      <c r="Y15" s="3">
        <f>[3]Kresizies_etal_2020_Fig1!B5</f>
        <v>21.905882352941099</v>
      </c>
      <c r="Z15"/>
      <c r="AA15" t="s">
        <v>21</v>
      </c>
      <c r="AB15" t="s">
        <v>285</v>
      </c>
    </row>
    <row r="16" spans="1:28" x14ac:dyDescent="0.35">
      <c r="A16" t="s">
        <v>30</v>
      </c>
      <c r="B16" t="s">
        <v>9</v>
      </c>
      <c r="C16" t="s">
        <v>10</v>
      </c>
      <c r="D16" t="s">
        <v>11</v>
      </c>
      <c r="E16" t="s">
        <v>12</v>
      </c>
      <c r="F16" t="s">
        <v>13</v>
      </c>
      <c r="G16" t="s">
        <v>13</v>
      </c>
      <c r="H16" t="s">
        <v>13</v>
      </c>
      <c r="I16" t="s">
        <v>242</v>
      </c>
      <c r="J16">
        <v>12</v>
      </c>
      <c r="K16" t="s">
        <v>220</v>
      </c>
      <c r="L16" t="s">
        <v>16</v>
      </c>
      <c r="M16" t="str">
        <f t="shared" si="0"/>
        <v>Control</v>
      </c>
      <c r="N16" t="s">
        <v>185</v>
      </c>
      <c r="O16" t="s">
        <v>243</v>
      </c>
      <c r="R16" t="s">
        <v>193</v>
      </c>
      <c r="S16" t="s">
        <v>25</v>
      </c>
      <c r="T16" t="s">
        <v>26</v>
      </c>
      <c r="U16" t="s">
        <v>212</v>
      </c>
      <c r="W16" s="1">
        <v>2.4500000000000001E-8</v>
      </c>
      <c r="Y16" s="3">
        <f>[3]Kresizies_etal_2020_Fig1!B2</f>
        <v>21.2470588235294</v>
      </c>
      <c r="Z16"/>
      <c r="AA16" t="s">
        <v>21</v>
      </c>
      <c r="AB16" t="s">
        <v>285</v>
      </c>
    </row>
    <row r="17" spans="1:28" x14ac:dyDescent="0.35">
      <c r="A17" t="s">
        <v>30</v>
      </c>
      <c r="B17" t="s">
        <v>9</v>
      </c>
      <c r="C17" t="s">
        <v>10</v>
      </c>
      <c r="D17" t="s">
        <v>11</v>
      </c>
      <c r="E17" t="s">
        <v>12</v>
      </c>
      <c r="F17" t="s">
        <v>13</v>
      </c>
      <c r="G17" t="s">
        <v>13</v>
      </c>
      <c r="H17" t="s">
        <v>13</v>
      </c>
      <c r="I17" t="s">
        <v>242</v>
      </c>
      <c r="J17">
        <v>12</v>
      </c>
      <c r="K17" t="s">
        <v>220</v>
      </c>
      <c r="L17" t="s">
        <v>187</v>
      </c>
      <c r="M17" t="str">
        <f t="shared" si="0"/>
        <v>Stress</v>
      </c>
      <c r="N17" t="s">
        <v>185</v>
      </c>
      <c r="O17" t="s">
        <v>243</v>
      </c>
      <c r="R17" t="s">
        <v>193</v>
      </c>
      <c r="S17" t="s">
        <v>25</v>
      </c>
      <c r="T17" t="s">
        <v>26</v>
      </c>
      <c r="U17" t="s">
        <v>212</v>
      </c>
      <c r="W17" s="1">
        <v>3.0500000000000002E-8</v>
      </c>
      <c r="Y17" s="3">
        <f>[3]Kresizies_etal_2020_Fig1!B3</f>
        <v>16.058823529411701</v>
      </c>
      <c r="Z17"/>
      <c r="AA17" t="s">
        <v>21</v>
      </c>
      <c r="AB17" t="s">
        <v>285</v>
      </c>
    </row>
    <row r="18" spans="1:28" x14ac:dyDescent="0.35">
      <c r="A18" t="s">
        <v>30</v>
      </c>
      <c r="B18" t="s">
        <v>9</v>
      </c>
      <c r="C18" t="s">
        <v>10</v>
      </c>
      <c r="D18" t="s">
        <v>11</v>
      </c>
      <c r="E18" t="s">
        <v>12</v>
      </c>
      <c r="F18" t="s">
        <v>13</v>
      </c>
      <c r="G18" t="s">
        <v>13</v>
      </c>
      <c r="H18" t="s">
        <v>13</v>
      </c>
      <c r="I18" t="s">
        <v>242</v>
      </c>
      <c r="J18">
        <v>12</v>
      </c>
      <c r="K18" t="s">
        <v>220</v>
      </c>
      <c r="L18" t="s">
        <v>16</v>
      </c>
      <c r="M18" t="str">
        <f t="shared" si="0"/>
        <v>Control</v>
      </c>
      <c r="N18" t="s">
        <v>186</v>
      </c>
      <c r="O18" t="s">
        <v>243</v>
      </c>
      <c r="R18" t="s">
        <v>193</v>
      </c>
      <c r="S18" t="s">
        <v>25</v>
      </c>
      <c r="T18" t="s">
        <v>26</v>
      </c>
      <c r="U18" t="s">
        <v>212</v>
      </c>
      <c r="W18" s="1">
        <v>2.8700000000000002E-8</v>
      </c>
      <c r="Y18" s="3">
        <f>[3]Kresizies_etal_2020_Fig1!B4</f>
        <v>26.847058823529402</v>
      </c>
      <c r="Z18"/>
      <c r="AA18" t="s">
        <v>21</v>
      </c>
      <c r="AB18" t="s">
        <v>285</v>
      </c>
    </row>
    <row r="19" spans="1:28" x14ac:dyDescent="0.35">
      <c r="A19" t="s">
        <v>30</v>
      </c>
      <c r="B19" t="s">
        <v>9</v>
      </c>
      <c r="C19" t="s">
        <v>10</v>
      </c>
      <c r="D19" t="s">
        <v>11</v>
      </c>
      <c r="E19" t="s">
        <v>12</v>
      </c>
      <c r="F19" t="s">
        <v>13</v>
      </c>
      <c r="G19" t="s">
        <v>13</v>
      </c>
      <c r="H19" t="s">
        <v>13</v>
      </c>
      <c r="I19" t="s">
        <v>242</v>
      </c>
      <c r="J19">
        <v>12</v>
      </c>
      <c r="K19" t="s">
        <v>220</v>
      </c>
      <c r="L19" t="s">
        <v>187</v>
      </c>
      <c r="M19" t="str">
        <f t="shared" si="0"/>
        <v>Stress</v>
      </c>
      <c r="N19" t="s">
        <v>186</v>
      </c>
      <c r="O19" t="s">
        <v>243</v>
      </c>
      <c r="R19" t="s">
        <v>193</v>
      </c>
      <c r="S19" t="s">
        <v>25</v>
      </c>
      <c r="T19" t="s">
        <v>26</v>
      </c>
      <c r="U19" t="s">
        <v>212</v>
      </c>
      <c r="W19" s="1">
        <v>4.5999999999999995E-8</v>
      </c>
      <c r="Y19" s="3">
        <f>[3]Kresizies_etal_2020_Fig1!B5</f>
        <v>21.905882352941099</v>
      </c>
      <c r="Z19"/>
      <c r="AA19" t="s">
        <v>21</v>
      </c>
      <c r="AB19" t="s">
        <v>285</v>
      </c>
    </row>
    <row r="20" spans="1:28" x14ac:dyDescent="0.35">
      <c r="A20" t="s">
        <v>28</v>
      </c>
      <c r="B20" t="s">
        <v>19</v>
      </c>
      <c r="C20" t="s">
        <v>20</v>
      </c>
      <c r="D20" t="s">
        <v>11</v>
      </c>
      <c r="E20" t="s">
        <v>14</v>
      </c>
      <c r="F20" t="s">
        <v>15</v>
      </c>
      <c r="G20" t="s">
        <v>15</v>
      </c>
      <c r="H20" t="s">
        <v>15</v>
      </c>
      <c r="I20" t="s">
        <v>242</v>
      </c>
      <c r="J20">
        <f>2*7</f>
        <v>14</v>
      </c>
      <c r="K20" t="s">
        <v>50</v>
      </c>
      <c r="L20" t="s">
        <v>16</v>
      </c>
      <c r="M20" t="str">
        <f t="shared" si="0"/>
        <v>Control</v>
      </c>
      <c r="R20" t="s">
        <v>193</v>
      </c>
      <c r="S20" t="s">
        <v>29</v>
      </c>
      <c r="T20" t="s">
        <v>31</v>
      </c>
      <c r="U20" t="s">
        <v>211</v>
      </c>
      <c r="W20" s="1">
        <f>[4]Ding_etal_2020_Fig3!B2</f>
        <v>2.6666666666666601E-6</v>
      </c>
      <c r="Z20"/>
      <c r="AA20" t="s">
        <v>18</v>
      </c>
      <c r="AB20" t="s">
        <v>285</v>
      </c>
    </row>
    <row r="21" spans="1:28" x14ac:dyDescent="0.35">
      <c r="A21" t="s">
        <v>28</v>
      </c>
      <c r="B21" t="s">
        <v>19</v>
      </c>
      <c r="C21" t="s">
        <v>20</v>
      </c>
      <c r="D21" t="s">
        <v>11</v>
      </c>
      <c r="E21" t="s">
        <v>14</v>
      </c>
      <c r="F21" t="s">
        <v>15</v>
      </c>
      <c r="G21" t="s">
        <v>15</v>
      </c>
      <c r="H21" t="s">
        <v>15</v>
      </c>
      <c r="I21" t="s">
        <v>242</v>
      </c>
      <c r="J21">
        <f t="shared" ref="J21:J25" si="1">2*7</f>
        <v>14</v>
      </c>
      <c r="K21" t="s">
        <v>50</v>
      </c>
      <c r="L21" t="s">
        <v>239</v>
      </c>
      <c r="M21" t="str">
        <f t="shared" si="0"/>
        <v>Stress</v>
      </c>
      <c r="R21" t="s">
        <v>193</v>
      </c>
      <c r="S21" t="s">
        <v>29</v>
      </c>
      <c r="T21" t="s">
        <v>31</v>
      </c>
      <c r="U21" t="s">
        <v>211</v>
      </c>
      <c r="W21" s="1">
        <f>[4]Ding_etal_2020_Fig3!B3</f>
        <v>2.95069033530571E-6</v>
      </c>
      <c r="Z21"/>
      <c r="AA21" t="s">
        <v>18</v>
      </c>
      <c r="AB21" t="s">
        <v>285</v>
      </c>
    </row>
    <row r="22" spans="1:28" x14ac:dyDescent="0.35">
      <c r="A22" t="s">
        <v>28</v>
      </c>
      <c r="B22" t="s">
        <v>19</v>
      </c>
      <c r="C22" t="s">
        <v>20</v>
      </c>
      <c r="D22" t="s">
        <v>11</v>
      </c>
      <c r="E22" t="s">
        <v>14</v>
      </c>
      <c r="F22" t="s">
        <v>15</v>
      </c>
      <c r="G22" t="s">
        <v>15</v>
      </c>
      <c r="H22" t="s">
        <v>15</v>
      </c>
      <c r="I22" t="s">
        <v>242</v>
      </c>
      <c r="J22">
        <f t="shared" si="1"/>
        <v>14</v>
      </c>
      <c r="K22" t="s">
        <v>50</v>
      </c>
      <c r="L22" t="s">
        <v>16</v>
      </c>
      <c r="M22" t="str">
        <f t="shared" si="0"/>
        <v>Control</v>
      </c>
      <c r="R22" t="s">
        <v>193</v>
      </c>
      <c r="S22" t="s">
        <v>29</v>
      </c>
      <c r="T22" t="s">
        <v>31</v>
      </c>
      <c r="U22" t="s">
        <v>211</v>
      </c>
      <c r="W22" s="1">
        <f>[4]Ding_etal_2020_Fig3!B4</f>
        <v>1.98412698412699E-6</v>
      </c>
      <c r="Z22"/>
      <c r="AA22" t="s">
        <v>18</v>
      </c>
      <c r="AB22" t="s">
        <v>285</v>
      </c>
    </row>
    <row r="23" spans="1:28" x14ac:dyDescent="0.35">
      <c r="A23" t="s">
        <v>28</v>
      </c>
      <c r="B23" t="s">
        <v>19</v>
      </c>
      <c r="C23" t="s">
        <v>20</v>
      </c>
      <c r="D23" t="s">
        <v>11</v>
      </c>
      <c r="E23" t="s">
        <v>14</v>
      </c>
      <c r="F23" t="s">
        <v>15</v>
      </c>
      <c r="G23" t="s">
        <v>15</v>
      </c>
      <c r="H23" t="s">
        <v>15</v>
      </c>
      <c r="I23" t="s">
        <v>242</v>
      </c>
      <c r="J23">
        <f t="shared" si="1"/>
        <v>14</v>
      </c>
      <c r="K23" t="s">
        <v>50</v>
      </c>
      <c r="L23" t="s">
        <v>239</v>
      </c>
      <c r="M23" t="str">
        <f t="shared" si="0"/>
        <v>Stress</v>
      </c>
      <c r="R23" t="s">
        <v>193</v>
      </c>
      <c r="S23" t="s">
        <v>29</v>
      </c>
      <c r="T23" t="s">
        <v>31</v>
      </c>
      <c r="U23" t="s">
        <v>211</v>
      </c>
      <c r="W23" s="1">
        <f>[4]Ding_etal_2020_Fig3!B5</f>
        <v>2.55555555555556E-6</v>
      </c>
      <c r="Z23"/>
      <c r="AA23" t="s">
        <v>18</v>
      </c>
      <c r="AB23" t="s">
        <v>285</v>
      </c>
    </row>
    <row r="24" spans="1:28" x14ac:dyDescent="0.35">
      <c r="A24" t="s">
        <v>28</v>
      </c>
      <c r="B24" t="s">
        <v>19</v>
      </c>
      <c r="C24" t="s">
        <v>20</v>
      </c>
      <c r="D24" t="s">
        <v>11</v>
      </c>
      <c r="E24" t="s">
        <v>14</v>
      </c>
      <c r="F24" t="s">
        <v>15</v>
      </c>
      <c r="G24" t="s">
        <v>15</v>
      </c>
      <c r="H24" t="s">
        <v>15</v>
      </c>
      <c r="I24" t="s">
        <v>242</v>
      </c>
      <c r="J24">
        <f t="shared" si="1"/>
        <v>14</v>
      </c>
      <c r="K24" t="s">
        <v>50</v>
      </c>
      <c r="L24" t="s">
        <v>16</v>
      </c>
      <c r="M24" t="str">
        <f t="shared" si="0"/>
        <v>Control</v>
      </c>
      <c r="R24" t="s">
        <v>193</v>
      </c>
      <c r="S24" t="s">
        <v>29</v>
      </c>
      <c r="T24" t="s">
        <v>31</v>
      </c>
      <c r="U24" t="s">
        <v>211</v>
      </c>
      <c r="W24" s="1">
        <f>[4]Ding_etal_2020_Fig3!B6</f>
        <v>1.18121442125237E-6</v>
      </c>
      <c r="Z24"/>
      <c r="AA24" t="s">
        <v>18</v>
      </c>
      <c r="AB24" t="s">
        <v>285</v>
      </c>
    </row>
    <row r="25" spans="1:28" x14ac:dyDescent="0.35">
      <c r="A25" t="s">
        <v>28</v>
      </c>
      <c r="B25" t="s">
        <v>19</v>
      </c>
      <c r="C25" t="s">
        <v>20</v>
      </c>
      <c r="D25" t="s">
        <v>11</v>
      </c>
      <c r="E25" t="s">
        <v>14</v>
      </c>
      <c r="F25" t="s">
        <v>15</v>
      </c>
      <c r="G25" t="s">
        <v>15</v>
      </c>
      <c r="H25" t="s">
        <v>15</v>
      </c>
      <c r="I25" t="s">
        <v>242</v>
      </c>
      <c r="J25">
        <f t="shared" si="1"/>
        <v>14</v>
      </c>
      <c r="K25" t="s">
        <v>50</v>
      </c>
      <c r="L25" t="s">
        <v>238</v>
      </c>
      <c r="M25" t="str">
        <f t="shared" si="0"/>
        <v>Stress</v>
      </c>
      <c r="R25" t="s">
        <v>193</v>
      </c>
      <c r="S25" t="s">
        <v>29</v>
      </c>
      <c r="T25" t="s">
        <v>31</v>
      </c>
      <c r="U25" t="s">
        <v>211</v>
      </c>
      <c r="W25" s="1">
        <f>[4]Ding_etal_2020_Fig3!B7</f>
        <v>5.0284629981024705E-7</v>
      </c>
      <c r="AA25" t="s">
        <v>18</v>
      </c>
      <c r="AB25" t="s">
        <v>285</v>
      </c>
    </row>
    <row r="26" spans="1:28" x14ac:dyDescent="0.35">
      <c r="A26" t="s">
        <v>244</v>
      </c>
      <c r="B26" t="s">
        <v>19</v>
      </c>
      <c r="C26" t="s">
        <v>20</v>
      </c>
      <c r="D26" t="s">
        <v>11</v>
      </c>
      <c r="E26" t="s">
        <v>14</v>
      </c>
      <c r="F26" t="s">
        <v>15</v>
      </c>
      <c r="G26" t="s">
        <v>15</v>
      </c>
      <c r="H26" t="s">
        <v>15</v>
      </c>
      <c r="I26" t="s">
        <v>242</v>
      </c>
      <c r="J26">
        <f>7*7</f>
        <v>49</v>
      </c>
      <c r="K26" t="s">
        <v>281</v>
      </c>
      <c r="L26" t="s">
        <v>281</v>
      </c>
      <c r="M26" t="s">
        <v>281</v>
      </c>
      <c r="R26" t="s">
        <v>193</v>
      </c>
      <c r="S26" t="s">
        <v>44</v>
      </c>
      <c r="T26" t="s">
        <v>31</v>
      </c>
      <c r="U26" t="s">
        <v>211</v>
      </c>
      <c r="V26" s="1">
        <f>[5]Meunier_etal_2018_Fig4a!D2</f>
        <v>1.0667016784323692E-10</v>
      </c>
      <c r="W26" s="1">
        <f>+V26/X26</f>
        <v>1.0882746469675224E-8</v>
      </c>
      <c r="X26">
        <f>+Y26/10*PI()*Z26/1000</f>
        <v>9.801769079200124E-3</v>
      </c>
      <c r="Y26">
        <f>[5]Meunier_etal_2018_Fig4a!B2</f>
        <v>29.999999999999901</v>
      </c>
      <c r="Z26">
        <f>0.52*2</f>
        <v>1.04</v>
      </c>
      <c r="AA26" t="s">
        <v>21</v>
      </c>
      <c r="AB26" t="s">
        <v>285</v>
      </c>
    </row>
    <row r="27" spans="1:28" x14ac:dyDescent="0.35">
      <c r="A27" t="s">
        <v>244</v>
      </c>
      <c r="B27" t="s">
        <v>19</v>
      </c>
      <c r="C27" t="s">
        <v>20</v>
      </c>
      <c r="D27" t="s">
        <v>11</v>
      </c>
      <c r="E27" t="s">
        <v>14</v>
      </c>
      <c r="F27" t="s">
        <v>15</v>
      </c>
      <c r="G27" t="s">
        <v>15</v>
      </c>
      <c r="H27" t="s">
        <v>15</v>
      </c>
      <c r="I27" t="s">
        <v>242</v>
      </c>
      <c r="J27">
        <f t="shared" ref="J27:J38" si="2">7*7</f>
        <v>49</v>
      </c>
      <c r="K27" t="s">
        <v>281</v>
      </c>
      <c r="L27" t="s">
        <v>281</v>
      </c>
      <c r="M27" t="s">
        <v>281</v>
      </c>
      <c r="R27" t="s">
        <v>193</v>
      </c>
      <c r="S27" t="s">
        <v>295</v>
      </c>
      <c r="T27" t="s">
        <v>31</v>
      </c>
      <c r="U27" t="s">
        <v>211</v>
      </c>
      <c r="V27" s="1">
        <f>[5]Meunier_etal_2018_Fig4a!D3</f>
        <v>1.2033259033512385E-10</v>
      </c>
      <c r="W27" s="1">
        <f t="shared" ref="W27:W29" si="3">+V27/X27</f>
        <v>9.5281226700930604E-9</v>
      </c>
      <c r="X27">
        <f t="shared" ref="X27:X29" si="4">+Y27/10*PI()*Z27/1000</f>
        <v>1.2629202467430928E-2</v>
      </c>
      <c r="Y27">
        <f>[5]Meunier_etal_2018_Fig4a!B3</f>
        <v>29.999999999999901</v>
      </c>
      <c r="Z27" s="2">
        <f>0.67*2</f>
        <v>1.34</v>
      </c>
      <c r="AA27" t="s">
        <v>21</v>
      </c>
      <c r="AB27" t="s">
        <v>285</v>
      </c>
    </row>
    <row r="28" spans="1:28" x14ac:dyDescent="0.35">
      <c r="A28" t="s">
        <v>244</v>
      </c>
      <c r="B28" t="s">
        <v>19</v>
      </c>
      <c r="C28" t="s">
        <v>20</v>
      </c>
      <c r="D28" t="s">
        <v>11</v>
      </c>
      <c r="E28" t="s">
        <v>14</v>
      </c>
      <c r="F28" t="s">
        <v>15</v>
      </c>
      <c r="G28" t="s">
        <v>15</v>
      </c>
      <c r="H28" t="s">
        <v>15</v>
      </c>
      <c r="I28" t="s">
        <v>242</v>
      </c>
      <c r="J28">
        <f t="shared" si="2"/>
        <v>49</v>
      </c>
      <c r="K28" t="s">
        <v>281</v>
      </c>
      <c r="L28" t="s">
        <v>281</v>
      </c>
      <c r="M28" t="s">
        <v>281</v>
      </c>
      <c r="R28" t="s">
        <v>193</v>
      </c>
      <c r="S28" t="s">
        <v>25</v>
      </c>
      <c r="T28" t="s">
        <v>31</v>
      </c>
      <c r="U28" t="s">
        <v>211</v>
      </c>
      <c r="V28" s="1">
        <f>[5]Meunier_etal_2018_Fig4a!D4</f>
        <v>1.3115026880095951E-10</v>
      </c>
      <c r="W28" s="1">
        <f t="shared" si="3"/>
        <v>1.880469690766086E-8</v>
      </c>
      <c r="X28">
        <f t="shared" si="4"/>
        <v>6.9743356909693181E-3</v>
      </c>
      <c r="Y28">
        <f>[5]Meunier_etal_2018_Fig4a!B4</f>
        <v>29.999999999999901</v>
      </c>
      <c r="Z28" s="2">
        <f>0.37*2</f>
        <v>0.74</v>
      </c>
      <c r="AA28" t="s">
        <v>21</v>
      </c>
      <c r="AB28" t="s">
        <v>285</v>
      </c>
    </row>
    <row r="29" spans="1:28" x14ac:dyDescent="0.35">
      <c r="A29" t="s">
        <v>244</v>
      </c>
      <c r="B29" t="s">
        <v>19</v>
      </c>
      <c r="C29" t="s">
        <v>20</v>
      </c>
      <c r="D29" t="s">
        <v>11</v>
      </c>
      <c r="E29" t="s">
        <v>14</v>
      </c>
      <c r="F29" t="s">
        <v>15</v>
      </c>
      <c r="G29" t="s">
        <v>15</v>
      </c>
      <c r="H29" t="s">
        <v>15</v>
      </c>
      <c r="I29" t="s">
        <v>242</v>
      </c>
      <c r="J29">
        <f t="shared" si="2"/>
        <v>49</v>
      </c>
      <c r="K29" t="s">
        <v>281</v>
      </c>
      <c r="L29" t="s">
        <v>281</v>
      </c>
      <c r="M29" t="s">
        <v>281</v>
      </c>
      <c r="R29" t="s">
        <v>193</v>
      </c>
      <c r="S29" t="s">
        <v>148</v>
      </c>
      <c r="T29" t="s">
        <v>31</v>
      </c>
      <c r="U29" t="s">
        <v>211</v>
      </c>
      <c r="V29" s="1">
        <f>[5]Meunier_etal_2018_Fig4a!D5</f>
        <v>8.239203321147188E-11</v>
      </c>
      <c r="W29" s="1">
        <f t="shared" si="3"/>
        <v>2.1855165594995596E-8</v>
      </c>
      <c r="X29">
        <f t="shared" si="4"/>
        <v>3.7699111843077517E-3</v>
      </c>
      <c r="Y29">
        <f>[5]Meunier_etal_2018_Fig4a!B5</f>
        <v>20</v>
      </c>
      <c r="Z29" s="2">
        <f>0.3*2</f>
        <v>0.6</v>
      </c>
      <c r="AA29" t="s">
        <v>21</v>
      </c>
      <c r="AB29" t="s">
        <v>285</v>
      </c>
    </row>
    <row r="30" spans="1:28" x14ac:dyDescent="0.35">
      <c r="A30" t="s">
        <v>244</v>
      </c>
      <c r="B30" t="s">
        <v>19</v>
      </c>
      <c r="C30" t="s">
        <v>20</v>
      </c>
      <c r="D30" t="s">
        <v>11</v>
      </c>
      <c r="E30" t="s">
        <v>14</v>
      </c>
      <c r="F30" t="s">
        <v>15</v>
      </c>
      <c r="G30" t="s">
        <v>15</v>
      </c>
      <c r="H30" t="s">
        <v>15</v>
      </c>
      <c r="I30" t="s">
        <v>242</v>
      </c>
      <c r="J30">
        <f t="shared" si="2"/>
        <v>49</v>
      </c>
      <c r="K30" t="s">
        <v>281</v>
      </c>
      <c r="L30" t="s">
        <v>281</v>
      </c>
      <c r="M30" t="s">
        <v>281</v>
      </c>
      <c r="R30" t="s">
        <v>193</v>
      </c>
      <c r="S30" t="s">
        <v>44</v>
      </c>
      <c r="T30" t="s">
        <v>69</v>
      </c>
      <c r="U30" t="s">
        <v>211</v>
      </c>
      <c r="W30" s="1">
        <f>[6]Meunier_etal_2018_Fig4a!$E$3</f>
        <v>3.7157803946646465E-8</v>
      </c>
      <c r="Z30" s="2">
        <f t="shared" ref="Z30:Z31" si="5">0.52*2</f>
        <v>1.04</v>
      </c>
      <c r="AA30" t="s">
        <v>21</v>
      </c>
      <c r="AB30" t="s">
        <v>284</v>
      </c>
    </row>
    <row r="31" spans="1:28" x14ac:dyDescent="0.35">
      <c r="A31" t="s">
        <v>244</v>
      </c>
      <c r="B31" t="s">
        <v>19</v>
      </c>
      <c r="C31" t="s">
        <v>20</v>
      </c>
      <c r="D31" t="s">
        <v>11</v>
      </c>
      <c r="E31" t="s">
        <v>14</v>
      </c>
      <c r="F31" t="s">
        <v>15</v>
      </c>
      <c r="G31" t="s">
        <v>15</v>
      </c>
      <c r="H31" t="s">
        <v>15</v>
      </c>
      <c r="I31" t="s">
        <v>242</v>
      </c>
      <c r="J31">
        <f t="shared" si="2"/>
        <v>49</v>
      </c>
      <c r="K31" t="s">
        <v>281</v>
      </c>
      <c r="L31" t="s">
        <v>281</v>
      </c>
      <c r="M31" t="s">
        <v>281</v>
      </c>
      <c r="R31" t="s">
        <v>193</v>
      </c>
      <c r="S31" t="s">
        <v>44</v>
      </c>
      <c r="T31" t="s">
        <v>70</v>
      </c>
      <c r="U31" t="s">
        <v>211</v>
      </c>
      <c r="W31" s="1">
        <f>[6]Meunier_etal_2018_Fig4a!$E$5</f>
        <v>1.9889706583598147E-8</v>
      </c>
      <c r="Z31" s="2">
        <f t="shared" si="5"/>
        <v>1.04</v>
      </c>
      <c r="AA31" t="s">
        <v>21</v>
      </c>
      <c r="AB31" t="s">
        <v>284</v>
      </c>
    </row>
    <row r="32" spans="1:28" x14ac:dyDescent="0.35">
      <c r="A32" t="s">
        <v>244</v>
      </c>
      <c r="B32" t="s">
        <v>19</v>
      </c>
      <c r="C32" t="s">
        <v>20</v>
      </c>
      <c r="D32" t="s">
        <v>11</v>
      </c>
      <c r="E32" t="s">
        <v>14</v>
      </c>
      <c r="F32" t="s">
        <v>15</v>
      </c>
      <c r="G32" t="s">
        <v>15</v>
      </c>
      <c r="H32" t="s">
        <v>15</v>
      </c>
      <c r="I32" t="s">
        <v>242</v>
      </c>
      <c r="J32">
        <f t="shared" si="2"/>
        <v>49</v>
      </c>
      <c r="K32" t="s">
        <v>281</v>
      </c>
      <c r="L32" t="s">
        <v>281</v>
      </c>
      <c r="M32" t="s">
        <v>281</v>
      </c>
      <c r="R32" t="s">
        <v>193</v>
      </c>
      <c r="S32" t="s">
        <v>297</v>
      </c>
      <c r="T32" t="s">
        <v>69</v>
      </c>
      <c r="U32" t="s">
        <v>211</v>
      </c>
      <c r="W32" s="1">
        <f>[6]Meunier_etal_2018_Fig4a!$E$7</f>
        <v>5.6006802569119905E-8</v>
      </c>
      <c r="Z32" s="2">
        <f t="shared" ref="Z32:Z33" si="6">0.67*2</f>
        <v>1.34</v>
      </c>
      <c r="AA32" t="s">
        <v>21</v>
      </c>
      <c r="AB32" t="s">
        <v>284</v>
      </c>
    </row>
    <row r="33" spans="1:28" x14ac:dyDescent="0.35">
      <c r="A33" t="s">
        <v>244</v>
      </c>
      <c r="B33" t="s">
        <v>19</v>
      </c>
      <c r="C33" t="s">
        <v>20</v>
      </c>
      <c r="D33" t="s">
        <v>11</v>
      </c>
      <c r="E33" t="s">
        <v>14</v>
      </c>
      <c r="F33" t="s">
        <v>15</v>
      </c>
      <c r="G33" t="s">
        <v>15</v>
      </c>
      <c r="H33" t="s">
        <v>15</v>
      </c>
      <c r="I33" t="s">
        <v>242</v>
      </c>
      <c r="J33">
        <f t="shared" si="2"/>
        <v>49</v>
      </c>
      <c r="K33" t="s">
        <v>281</v>
      </c>
      <c r="L33" t="s">
        <v>281</v>
      </c>
      <c r="M33" t="s">
        <v>281</v>
      </c>
      <c r="R33" t="s">
        <v>193</v>
      </c>
      <c r="S33" t="s">
        <v>297</v>
      </c>
      <c r="T33" t="s">
        <v>70</v>
      </c>
      <c r="U33" t="s">
        <v>211</v>
      </c>
      <c r="W33" s="1">
        <f>[6]Meunier_etal_2018_Fig4a!$E$9</f>
        <v>2.704013309040232E-9</v>
      </c>
      <c r="Z33" s="2">
        <f t="shared" si="6"/>
        <v>1.34</v>
      </c>
      <c r="AA33" t="s">
        <v>21</v>
      </c>
      <c r="AB33" t="s">
        <v>284</v>
      </c>
    </row>
    <row r="34" spans="1:28" x14ac:dyDescent="0.35">
      <c r="A34" t="s">
        <v>244</v>
      </c>
      <c r="B34" t="s">
        <v>19</v>
      </c>
      <c r="C34" t="s">
        <v>20</v>
      </c>
      <c r="D34" t="s">
        <v>11</v>
      </c>
      <c r="E34" t="s">
        <v>14</v>
      </c>
      <c r="F34" t="s">
        <v>15</v>
      </c>
      <c r="G34" t="s">
        <v>15</v>
      </c>
      <c r="H34" t="s">
        <v>15</v>
      </c>
      <c r="I34" t="s">
        <v>242</v>
      </c>
      <c r="J34">
        <f t="shared" si="2"/>
        <v>49</v>
      </c>
      <c r="K34" t="s">
        <v>281</v>
      </c>
      <c r="L34" t="s">
        <v>281</v>
      </c>
      <c r="M34" t="s">
        <v>281</v>
      </c>
      <c r="R34" t="s">
        <v>193</v>
      </c>
      <c r="S34" t="s">
        <v>25</v>
      </c>
      <c r="T34" t="s">
        <v>69</v>
      </c>
      <c r="U34" t="s">
        <v>211</v>
      </c>
      <c r="W34" s="1">
        <f>[6]Meunier_etal_2018_Fig4a!$E$11</f>
        <v>5.4689614509107411E-8</v>
      </c>
      <c r="Z34" s="2">
        <f t="shared" ref="Z34:Z35" si="7">0.37*2</f>
        <v>0.74</v>
      </c>
      <c r="AA34" t="s">
        <v>21</v>
      </c>
      <c r="AB34" t="s">
        <v>284</v>
      </c>
    </row>
    <row r="35" spans="1:28" x14ac:dyDescent="0.35">
      <c r="A35" t="s">
        <v>244</v>
      </c>
      <c r="B35" t="s">
        <v>19</v>
      </c>
      <c r="C35" t="s">
        <v>20</v>
      </c>
      <c r="D35" t="s">
        <v>11</v>
      </c>
      <c r="E35" t="s">
        <v>14</v>
      </c>
      <c r="F35" t="s">
        <v>15</v>
      </c>
      <c r="G35" t="s">
        <v>15</v>
      </c>
      <c r="H35" t="s">
        <v>15</v>
      </c>
      <c r="I35" t="s">
        <v>242</v>
      </c>
      <c r="J35">
        <f t="shared" si="2"/>
        <v>49</v>
      </c>
      <c r="K35" t="s">
        <v>281</v>
      </c>
      <c r="L35" t="s">
        <v>281</v>
      </c>
      <c r="M35" t="s">
        <v>281</v>
      </c>
      <c r="R35" t="s">
        <v>193</v>
      </c>
      <c r="S35" t="s">
        <v>25</v>
      </c>
      <c r="T35" t="s">
        <v>70</v>
      </c>
      <c r="U35" t="s">
        <v>211</v>
      </c>
      <c r="W35" s="1">
        <f>[6]Meunier_etal_2018_Fig4a!$E$13</f>
        <v>4.641511676450382E-8</v>
      </c>
      <c r="Z35" s="2">
        <f t="shared" si="7"/>
        <v>0.74</v>
      </c>
      <c r="AA35" t="s">
        <v>21</v>
      </c>
      <c r="AB35" t="s">
        <v>284</v>
      </c>
    </row>
    <row r="36" spans="1:28" x14ac:dyDescent="0.35">
      <c r="A36" t="s">
        <v>244</v>
      </c>
      <c r="B36" t="s">
        <v>19</v>
      </c>
      <c r="C36" t="s">
        <v>20</v>
      </c>
      <c r="D36" t="s">
        <v>11</v>
      </c>
      <c r="E36" t="s">
        <v>14</v>
      </c>
      <c r="F36" t="s">
        <v>15</v>
      </c>
      <c r="G36" t="s">
        <v>15</v>
      </c>
      <c r="H36" t="s">
        <v>15</v>
      </c>
      <c r="I36" t="s">
        <v>242</v>
      </c>
      <c r="J36">
        <f t="shared" si="2"/>
        <v>49</v>
      </c>
      <c r="K36" t="s">
        <v>281</v>
      </c>
      <c r="L36" t="s">
        <v>281</v>
      </c>
      <c r="M36" t="s">
        <v>281</v>
      </c>
      <c r="R36" t="s">
        <v>193</v>
      </c>
      <c r="S36" t="s">
        <v>148</v>
      </c>
      <c r="T36" t="s">
        <v>31</v>
      </c>
      <c r="U36" t="s">
        <v>211</v>
      </c>
      <c r="W36" s="1">
        <f>[6]Meunier_etal_2018_Fig4a!$E$15</f>
        <v>6.537688771362963E-8</v>
      </c>
      <c r="Z36" s="2">
        <f>0.3*2</f>
        <v>0.6</v>
      </c>
      <c r="AA36" t="s">
        <v>21</v>
      </c>
      <c r="AB36" t="s">
        <v>284</v>
      </c>
    </row>
    <row r="37" spans="1:28" x14ac:dyDescent="0.35">
      <c r="A37" t="s">
        <v>244</v>
      </c>
      <c r="B37" t="s">
        <v>296</v>
      </c>
      <c r="C37" t="s">
        <v>91</v>
      </c>
      <c r="D37" t="s">
        <v>92</v>
      </c>
      <c r="E37" t="s">
        <v>12</v>
      </c>
      <c r="F37" t="s">
        <v>216</v>
      </c>
      <c r="G37" t="s">
        <v>216</v>
      </c>
      <c r="H37" t="s">
        <v>290</v>
      </c>
      <c r="I37" t="s">
        <v>294</v>
      </c>
      <c r="J37">
        <f t="shared" si="2"/>
        <v>49</v>
      </c>
      <c r="K37" t="s">
        <v>281</v>
      </c>
      <c r="L37" t="s">
        <v>281</v>
      </c>
      <c r="M37" t="s">
        <v>281</v>
      </c>
      <c r="R37" t="s">
        <v>193</v>
      </c>
      <c r="S37" t="s">
        <v>148</v>
      </c>
      <c r="T37" t="s">
        <v>31</v>
      </c>
      <c r="U37" t="s">
        <v>211</v>
      </c>
      <c r="V37">
        <f>[7]Meunier_etal_2018_Fig5b!$C$2</f>
        <v>8.0568287894093746E-11</v>
      </c>
      <c r="W37" s="1">
        <f>+V37/X37</f>
        <v>2.1223533245490552E-8</v>
      </c>
      <c r="X37">
        <f t="shared" ref="X37" si="8">+Y37/10*PI()*Z37/1000</f>
        <v>3.7961769589525069E-3</v>
      </c>
      <c r="Y37" s="3">
        <f>[7]Meunier_etal_2018_Fig5b!$A$2</f>
        <v>14.3852459016393</v>
      </c>
      <c r="Z37" s="2">
        <f>0.42*2</f>
        <v>0.84</v>
      </c>
      <c r="AA37" t="s">
        <v>21</v>
      </c>
      <c r="AB37" t="s">
        <v>285</v>
      </c>
    </row>
    <row r="38" spans="1:28" x14ac:dyDescent="0.35">
      <c r="A38" t="s">
        <v>244</v>
      </c>
      <c r="B38" t="s">
        <v>296</v>
      </c>
      <c r="C38" t="s">
        <v>91</v>
      </c>
      <c r="D38" t="s">
        <v>92</v>
      </c>
      <c r="E38" t="s">
        <v>12</v>
      </c>
      <c r="F38" t="s">
        <v>216</v>
      </c>
      <c r="G38" t="s">
        <v>216</v>
      </c>
      <c r="H38" t="s">
        <v>290</v>
      </c>
      <c r="I38" t="s">
        <v>294</v>
      </c>
      <c r="J38">
        <f t="shared" si="2"/>
        <v>49</v>
      </c>
      <c r="K38" t="s">
        <v>281</v>
      </c>
      <c r="L38" t="s">
        <v>281</v>
      </c>
      <c r="M38" t="s">
        <v>281</v>
      </c>
      <c r="R38" t="s">
        <v>193</v>
      </c>
      <c r="S38" t="s">
        <v>148</v>
      </c>
      <c r="T38" t="s">
        <v>31</v>
      </c>
      <c r="U38" t="s">
        <v>211</v>
      </c>
      <c r="W38" s="1">
        <f>[8]Meunier_etal_2018_Fig5b!$C$2</f>
        <v>5.034196848564074E-8</v>
      </c>
      <c r="Z38" s="2">
        <f>0.42*2</f>
        <v>0.84</v>
      </c>
      <c r="AA38" t="s">
        <v>21</v>
      </c>
      <c r="AB38" t="s">
        <v>284</v>
      </c>
    </row>
    <row r="39" spans="1:28" x14ac:dyDescent="0.35">
      <c r="A39" t="s">
        <v>32</v>
      </c>
      <c r="B39" t="s">
        <v>9</v>
      </c>
      <c r="C39" t="s">
        <v>10</v>
      </c>
      <c r="D39" t="s">
        <v>11</v>
      </c>
      <c r="E39" t="s">
        <v>12</v>
      </c>
      <c r="F39" t="s">
        <v>13</v>
      </c>
      <c r="G39" t="s">
        <v>13</v>
      </c>
      <c r="H39" t="s">
        <v>13</v>
      </c>
      <c r="I39" t="s">
        <v>242</v>
      </c>
      <c r="J39">
        <f>+AVERAGE(16,20)</f>
        <v>18</v>
      </c>
      <c r="K39" t="s">
        <v>281</v>
      </c>
      <c r="L39" t="s">
        <v>281</v>
      </c>
      <c r="M39" t="s">
        <v>281</v>
      </c>
      <c r="R39" t="s">
        <v>193</v>
      </c>
      <c r="S39" t="s">
        <v>25</v>
      </c>
      <c r="T39" t="s">
        <v>26</v>
      </c>
      <c r="U39" t="s">
        <v>211</v>
      </c>
      <c r="W39" s="1">
        <v>9.3999999999999995E-8</v>
      </c>
      <c r="X39" s="2"/>
      <c r="Y39">
        <f>+AVERAGE(5,7.5)</f>
        <v>6.25</v>
      </c>
      <c r="Z39">
        <v>0.5</v>
      </c>
      <c r="AA39" t="s">
        <v>21</v>
      </c>
      <c r="AB39" t="s">
        <v>285</v>
      </c>
    </row>
    <row r="40" spans="1:28" x14ac:dyDescent="0.35">
      <c r="A40" t="s">
        <v>32</v>
      </c>
      <c r="B40" t="s">
        <v>9</v>
      </c>
      <c r="C40" t="s">
        <v>10</v>
      </c>
      <c r="D40" t="s">
        <v>11</v>
      </c>
      <c r="E40" t="s">
        <v>12</v>
      </c>
      <c r="F40" t="s">
        <v>13</v>
      </c>
      <c r="G40" t="s">
        <v>13</v>
      </c>
      <c r="H40" t="s">
        <v>13</v>
      </c>
      <c r="I40" t="s">
        <v>242</v>
      </c>
      <c r="J40">
        <f t="shared" ref="J40:J41" si="9">+AVERAGE(16,20)</f>
        <v>18</v>
      </c>
      <c r="K40" t="s">
        <v>281</v>
      </c>
      <c r="L40" t="s">
        <v>281</v>
      </c>
      <c r="M40" t="s">
        <v>281</v>
      </c>
      <c r="R40" t="s">
        <v>193</v>
      </c>
      <c r="S40" t="s">
        <v>25</v>
      </c>
      <c r="T40" t="s">
        <v>26</v>
      </c>
      <c r="U40" t="s">
        <v>212</v>
      </c>
      <c r="W40" s="1">
        <v>9.5000000000000004E-8</v>
      </c>
      <c r="X40" s="2"/>
      <c r="Y40">
        <f>+AVERAGE(5,7.5)</f>
        <v>6.25</v>
      </c>
      <c r="Z40">
        <v>0.5</v>
      </c>
      <c r="AA40" t="s">
        <v>21</v>
      </c>
      <c r="AB40" t="s">
        <v>285</v>
      </c>
    </row>
    <row r="41" spans="1:28" x14ac:dyDescent="0.35">
      <c r="A41" t="s">
        <v>32</v>
      </c>
      <c r="B41" t="s">
        <v>9</v>
      </c>
      <c r="C41" t="s">
        <v>10</v>
      </c>
      <c r="D41" t="s">
        <v>11</v>
      </c>
      <c r="E41" t="s">
        <v>12</v>
      </c>
      <c r="F41" t="s">
        <v>13</v>
      </c>
      <c r="G41" t="s">
        <v>13</v>
      </c>
      <c r="H41" t="s">
        <v>13</v>
      </c>
      <c r="I41" t="s">
        <v>242</v>
      </c>
      <c r="J41">
        <f t="shared" si="9"/>
        <v>18</v>
      </c>
      <c r="K41" t="s">
        <v>281</v>
      </c>
      <c r="L41" t="s">
        <v>281</v>
      </c>
      <c r="M41" t="s">
        <v>281</v>
      </c>
      <c r="R41" t="s">
        <v>193</v>
      </c>
      <c r="S41" t="s">
        <v>25</v>
      </c>
      <c r="T41" t="s">
        <v>31</v>
      </c>
      <c r="U41" t="s">
        <v>211</v>
      </c>
      <c r="W41" s="1">
        <v>1.4999999999999999E-8</v>
      </c>
      <c r="X41" s="2"/>
      <c r="Y41">
        <v>20</v>
      </c>
      <c r="Z41">
        <v>0.5</v>
      </c>
      <c r="AA41" t="s">
        <v>21</v>
      </c>
      <c r="AB41" t="s">
        <v>285</v>
      </c>
    </row>
    <row r="42" spans="1:28" x14ac:dyDescent="0.35">
      <c r="A42" t="s">
        <v>37</v>
      </c>
      <c r="B42" t="s">
        <v>33</v>
      </c>
      <c r="C42" t="s">
        <v>34</v>
      </c>
      <c r="D42" t="s">
        <v>35</v>
      </c>
      <c r="E42" t="s">
        <v>12</v>
      </c>
      <c r="F42" t="s">
        <v>36</v>
      </c>
      <c r="G42" t="s">
        <v>215</v>
      </c>
      <c r="H42" t="s">
        <v>282</v>
      </c>
      <c r="I42" t="s">
        <v>241</v>
      </c>
      <c r="K42" t="s">
        <v>221</v>
      </c>
      <c r="L42" t="s">
        <v>16</v>
      </c>
      <c r="M42" t="str">
        <f t="shared" ref="M42:M61" si="10">+IF(L42="Control","Control","Stress")</f>
        <v>Control</v>
      </c>
      <c r="N42" t="s">
        <v>222</v>
      </c>
      <c r="O42" t="s">
        <v>243</v>
      </c>
      <c r="R42" t="s">
        <v>193</v>
      </c>
      <c r="S42" t="s">
        <v>39</v>
      </c>
      <c r="T42" t="s">
        <v>31</v>
      </c>
      <c r="U42" t="s">
        <v>211</v>
      </c>
      <c r="W42" s="1">
        <f>[9]Johnson_etal_2014_Fig3a!B2</f>
        <v>1.5675675675675601E-8</v>
      </c>
      <c r="Z42">
        <v>18</v>
      </c>
      <c r="AA42" t="s">
        <v>18</v>
      </c>
      <c r="AB42" t="s">
        <v>285</v>
      </c>
    </row>
    <row r="43" spans="1:28" x14ac:dyDescent="0.35">
      <c r="A43" t="s">
        <v>37</v>
      </c>
      <c r="B43" t="s">
        <v>33</v>
      </c>
      <c r="C43" t="s">
        <v>34</v>
      </c>
      <c r="D43" t="s">
        <v>35</v>
      </c>
      <c r="E43" t="s">
        <v>12</v>
      </c>
      <c r="F43" t="s">
        <v>36</v>
      </c>
      <c r="G43" t="s">
        <v>215</v>
      </c>
      <c r="H43" t="s">
        <v>282</v>
      </c>
      <c r="I43" t="s">
        <v>241</v>
      </c>
      <c r="K43" t="s">
        <v>221</v>
      </c>
      <c r="L43" t="s">
        <v>16</v>
      </c>
      <c r="M43" t="str">
        <f t="shared" si="10"/>
        <v>Control</v>
      </c>
      <c r="N43" t="s">
        <v>223</v>
      </c>
      <c r="O43" t="s">
        <v>243</v>
      </c>
      <c r="R43" t="s">
        <v>193</v>
      </c>
      <c r="S43" t="s">
        <v>39</v>
      </c>
      <c r="T43" t="s">
        <v>31</v>
      </c>
      <c r="U43" t="s">
        <v>211</v>
      </c>
      <c r="W43" s="1">
        <f>[9]Johnson_etal_2014_Fig3a!B3</f>
        <v>2.3333333333333301E-8</v>
      </c>
      <c r="Z43"/>
      <c r="AA43" t="s">
        <v>18</v>
      </c>
      <c r="AB43" t="s">
        <v>285</v>
      </c>
    </row>
    <row r="44" spans="1:28" x14ac:dyDescent="0.35">
      <c r="A44" t="s">
        <v>37</v>
      </c>
      <c r="B44" t="s">
        <v>33</v>
      </c>
      <c r="C44" t="s">
        <v>34</v>
      </c>
      <c r="D44" t="s">
        <v>35</v>
      </c>
      <c r="E44" t="s">
        <v>12</v>
      </c>
      <c r="F44" t="s">
        <v>36</v>
      </c>
      <c r="G44" t="s">
        <v>215</v>
      </c>
      <c r="H44" t="s">
        <v>282</v>
      </c>
      <c r="I44" t="s">
        <v>241</v>
      </c>
      <c r="K44" t="s">
        <v>221</v>
      </c>
      <c r="L44" t="s">
        <v>16</v>
      </c>
      <c r="M44" t="str">
        <f t="shared" si="10"/>
        <v>Control</v>
      </c>
      <c r="N44" t="s">
        <v>224</v>
      </c>
      <c r="O44" t="s">
        <v>243</v>
      </c>
      <c r="R44" t="s">
        <v>193</v>
      </c>
      <c r="S44" t="s">
        <v>39</v>
      </c>
      <c r="T44" t="s">
        <v>31</v>
      </c>
      <c r="U44" t="s">
        <v>211</v>
      </c>
      <c r="W44" s="1">
        <f>[9]Johnson_etal_2014_Fig3a!B4</f>
        <v>4.0990990990990898E-8</v>
      </c>
      <c r="Z44"/>
      <c r="AA44" t="s">
        <v>18</v>
      </c>
      <c r="AB44" t="s">
        <v>285</v>
      </c>
    </row>
    <row r="45" spans="1:28" x14ac:dyDescent="0.35">
      <c r="A45" t="s">
        <v>37</v>
      </c>
      <c r="B45" t="s">
        <v>33</v>
      </c>
      <c r="C45" t="s">
        <v>34</v>
      </c>
      <c r="D45" t="s">
        <v>35</v>
      </c>
      <c r="E45" t="s">
        <v>12</v>
      </c>
      <c r="F45" t="s">
        <v>36</v>
      </c>
      <c r="G45" t="s">
        <v>215</v>
      </c>
      <c r="H45" t="s">
        <v>282</v>
      </c>
      <c r="I45" t="s">
        <v>241</v>
      </c>
      <c r="K45" t="s">
        <v>221</v>
      </c>
      <c r="L45" t="s">
        <v>16</v>
      </c>
      <c r="M45" t="str">
        <f t="shared" si="10"/>
        <v>Control</v>
      </c>
      <c r="N45" t="s">
        <v>225</v>
      </c>
      <c r="O45" t="s">
        <v>243</v>
      </c>
      <c r="R45" t="s">
        <v>193</v>
      </c>
      <c r="S45" t="s">
        <v>39</v>
      </c>
      <c r="T45" t="s">
        <v>31</v>
      </c>
      <c r="U45" t="s">
        <v>211</v>
      </c>
      <c r="W45" s="1">
        <f>[9]Johnson_etal_2014_Fig3a!B5</f>
        <v>3.81081081081081E-8</v>
      </c>
      <c r="Z45"/>
      <c r="AA45" t="s">
        <v>18</v>
      </c>
      <c r="AB45" t="s">
        <v>285</v>
      </c>
    </row>
    <row r="46" spans="1:28" x14ac:dyDescent="0.35">
      <c r="A46" t="s">
        <v>37</v>
      </c>
      <c r="B46" t="s">
        <v>33</v>
      </c>
      <c r="C46" t="s">
        <v>34</v>
      </c>
      <c r="D46" t="s">
        <v>35</v>
      </c>
      <c r="E46" t="s">
        <v>12</v>
      </c>
      <c r="F46" t="s">
        <v>36</v>
      </c>
      <c r="G46" t="s">
        <v>215</v>
      </c>
      <c r="H46" t="s">
        <v>282</v>
      </c>
      <c r="I46" t="s">
        <v>241</v>
      </c>
      <c r="K46" t="s">
        <v>221</v>
      </c>
      <c r="L46" t="s">
        <v>16</v>
      </c>
      <c r="M46" t="str">
        <f t="shared" si="10"/>
        <v>Control</v>
      </c>
      <c r="N46" t="s">
        <v>223</v>
      </c>
      <c r="O46" t="s">
        <v>243</v>
      </c>
      <c r="R46" t="s">
        <v>193</v>
      </c>
      <c r="S46" t="s">
        <v>38</v>
      </c>
      <c r="T46" t="s">
        <v>31</v>
      </c>
      <c r="U46" t="s">
        <v>211</v>
      </c>
      <c r="W46" s="1">
        <f>[10]Johnson_etal_2014_Fig3b!B2</f>
        <v>2.4503937007874E-9</v>
      </c>
      <c r="Z46"/>
      <c r="AA46" t="s">
        <v>18</v>
      </c>
      <c r="AB46" t="s">
        <v>285</v>
      </c>
    </row>
    <row r="47" spans="1:28" x14ac:dyDescent="0.35">
      <c r="A47" t="s">
        <v>37</v>
      </c>
      <c r="B47" t="s">
        <v>33</v>
      </c>
      <c r="C47" t="s">
        <v>34</v>
      </c>
      <c r="D47" t="s">
        <v>35</v>
      </c>
      <c r="E47" t="s">
        <v>12</v>
      </c>
      <c r="F47" t="s">
        <v>36</v>
      </c>
      <c r="G47" t="s">
        <v>215</v>
      </c>
      <c r="H47" t="s">
        <v>282</v>
      </c>
      <c r="I47" t="s">
        <v>241</v>
      </c>
      <c r="K47" t="s">
        <v>221</v>
      </c>
      <c r="L47" t="s">
        <v>16</v>
      </c>
      <c r="M47" t="str">
        <f t="shared" si="10"/>
        <v>Control</v>
      </c>
      <c r="N47" t="s">
        <v>224</v>
      </c>
      <c r="O47" t="s">
        <v>243</v>
      </c>
      <c r="R47" t="s">
        <v>193</v>
      </c>
      <c r="S47" t="s">
        <v>38</v>
      </c>
      <c r="T47" t="s">
        <v>31</v>
      </c>
      <c r="U47" t="s">
        <v>211</v>
      </c>
      <c r="W47" s="1">
        <f>[10]Johnson_etal_2014_Fig3b!B3</f>
        <v>1.9023622047244002E-9</v>
      </c>
      <c r="Z47"/>
      <c r="AA47" t="s">
        <v>18</v>
      </c>
      <c r="AB47" t="s">
        <v>285</v>
      </c>
    </row>
    <row r="48" spans="1:28" x14ac:dyDescent="0.35">
      <c r="A48" t="s">
        <v>37</v>
      </c>
      <c r="B48" t="s">
        <v>33</v>
      </c>
      <c r="C48" t="s">
        <v>34</v>
      </c>
      <c r="D48" t="s">
        <v>35</v>
      </c>
      <c r="E48" t="s">
        <v>12</v>
      </c>
      <c r="F48" t="s">
        <v>36</v>
      </c>
      <c r="G48" t="s">
        <v>215</v>
      </c>
      <c r="H48" t="s">
        <v>282</v>
      </c>
      <c r="I48" t="s">
        <v>241</v>
      </c>
      <c r="K48" t="s">
        <v>221</v>
      </c>
      <c r="L48" t="s">
        <v>16</v>
      </c>
      <c r="M48" t="str">
        <f t="shared" si="10"/>
        <v>Control</v>
      </c>
      <c r="N48" t="s">
        <v>225</v>
      </c>
      <c r="O48" t="s">
        <v>243</v>
      </c>
      <c r="R48" t="s">
        <v>193</v>
      </c>
      <c r="S48" t="s">
        <v>38</v>
      </c>
      <c r="T48" t="s">
        <v>31</v>
      </c>
      <c r="U48" t="s">
        <v>211</v>
      </c>
      <c r="W48" s="1">
        <f>[10]Johnson_etal_2014_Fig3b!B4</f>
        <v>1.31653543307086E-9</v>
      </c>
      <c r="Z48"/>
      <c r="AA48" t="s">
        <v>18</v>
      </c>
      <c r="AB48" t="s">
        <v>285</v>
      </c>
    </row>
    <row r="49" spans="1:28" x14ac:dyDescent="0.35">
      <c r="A49" t="s">
        <v>37</v>
      </c>
      <c r="B49" t="s">
        <v>33</v>
      </c>
      <c r="C49" t="s">
        <v>34</v>
      </c>
      <c r="D49" t="s">
        <v>35</v>
      </c>
      <c r="E49" t="s">
        <v>12</v>
      </c>
      <c r="F49" t="s">
        <v>36</v>
      </c>
      <c r="G49" t="s">
        <v>215</v>
      </c>
      <c r="H49" t="s">
        <v>282</v>
      </c>
      <c r="I49" t="s">
        <v>241</v>
      </c>
      <c r="K49" t="s">
        <v>221</v>
      </c>
      <c r="L49" t="s">
        <v>238</v>
      </c>
      <c r="M49" t="str">
        <f t="shared" si="10"/>
        <v>Stress</v>
      </c>
      <c r="N49" t="s">
        <v>222</v>
      </c>
      <c r="O49" t="s">
        <v>243</v>
      </c>
      <c r="R49" t="s">
        <v>193</v>
      </c>
      <c r="S49" t="s">
        <v>39</v>
      </c>
      <c r="T49" t="s">
        <v>31</v>
      </c>
      <c r="U49" t="s">
        <v>211</v>
      </c>
      <c r="W49" s="1">
        <f>+W42*(1-[11]Johnson_etal_2014_Fig4!$B2/100)</f>
        <v>1.0919638573484681E-8</v>
      </c>
      <c r="Z49"/>
      <c r="AA49" t="s">
        <v>18</v>
      </c>
      <c r="AB49" t="s">
        <v>285</v>
      </c>
    </row>
    <row r="50" spans="1:28" x14ac:dyDescent="0.35">
      <c r="A50" t="s">
        <v>37</v>
      </c>
      <c r="B50" t="s">
        <v>33</v>
      </c>
      <c r="C50" t="s">
        <v>34</v>
      </c>
      <c r="D50" t="s">
        <v>35</v>
      </c>
      <c r="E50" t="s">
        <v>12</v>
      </c>
      <c r="F50" t="s">
        <v>36</v>
      </c>
      <c r="G50" t="s">
        <v>215</v>
      </c>
      <c r="H50" t="s">
        <v>282</v>
      </c>
      <c r="I50" t="s">
        <v>241</v>
      </c>
      <c r="K50" t="s">
        <v>221</v>
      </c>
      <c r="L50" t="s">
        <v>238</v>
      </c>
      <c r="M50" t="str">
        <f t="shared" si="10"/>
        <v>Stress</v>
      </c>
      <c r="N50" t="s">
        <v>223</v>
      </c>
      <c r="O50" t="s">
        <v>243</v>
      </c>
      <c r="R50" t="s">
        <v>193</v>
      </c>
      <c r="S50" t="s">
        <v>39</v>
      </c>
      <c r="T50" t="s">
        <v>31</v>
      </c>
      <c r="U50" t="s">
        <v>211</v>
      </c>
      <c r="W50" s="1">
        <f>+W43*(1-[11]Johnson_etal_2014_Fig4!$B3/100)</f>
        <v>2.0530571992110434E-8</v>
      </c>
      <c r="Z50"/>
      <c r="AA50" t="s">
        <v>18</v>
      </c>
      <c r="AB50" t="s">
        <v>285</v>
      </c>
    </row>
    <row r="51" spans="1:28" x14ac:dyDescent="0.35">
      <c r="A51" t="s">
        <v>37</v>
      </c>
      <c r="B51" t="s">
        <v>33</v>
      </c>
      <c r="C51" t="s">
        <v>34</v>
      </c>
      <c r="D51" t="s">
        <v>35</v>
      </c>
      <c r="E51" t="s">
        <v>12</v>
      </c>
      <c r="F51" t="s">
        <v>36</v>
      </c>
      <c r="G51" t="s">
        <v>215</v>
      </c>
      <c r="H51" t="s">
        <v>282</v>
      </c>
      <c r="I51" t="s">
        <v>241</v>
      </c>
      <c r="K51" t="s">
        <v>221</v>
      </c>
      <c r="L51" t="s">
        <v>238</v>
      </c>
      <c r="M51" t="str">
        <f t="shared" si="10"/>
        <v>Stress</v>
      </c>
      <c r="N51" t="s">
        <v>224</v>
      </c>
      <c r="O51" t="s">
        <v>243</v>
      </c>
      <c r="R51" t="s">
        <v>193</v>
      </c>
      <c r="S51" t="s">
        <v>39</v>
      </c>
      <c r="T51" t="s">
        <v>31</v>
      </c>
      <c r="U51" t="s">
        <v>211</v>
      </c>
      <c r="W51" s="1">
        <f>+W44*(1-[11]Johnson_etal_2014_Fig4!$B4/100)</f>
        <v>3.1907484407484361E-8</v>
      </c>
      <c r="Z51"/>
      <c r="AA51" t="s">
        <v>18</v>
      </c>
      <c r="AB51" t="s">
        <v>285</v>
      </c>
    </row>
    <row r="52" spans="1:28" x14ac:dyDescent="0.35">
      <c r="A52" t="s">
        <v>37</v>
      </c>
      <c r="B52" t="s">
        <v>33</v>
      </c>
      <c r="C52" t="s">
        <v>34</v>
      </c>
      <c r="D52" t="s">
        <v>35</v>
      </c>
      <c r="E52" t="s">
        <v>12</v>
      </c>
      <c r="F52" t="s">
        <v>36</v>
      </c>
      <c r="G52" t="s">
        <v>215</v>
      </c>
      <c r="H52" t="s">
        <v>282</v>
      </c>
      <c r="I52" t="s">
        <v>241</v>
      </c>
      <c r="K52" t="s">
        <v>221</v>
      </c>
      <c r="L52" t="s">
        <v>238</v>
      </c>
      <c r="M52" t="str">
        <f t="shared" si="10"/>
        <v>Stress</v>
      </c>
      <c r="N52" t="s">
        <v>225</v>
      </c>
      <c r="O52" t="s">
        <v>243</v>
      </c>
      <c r="R52" t="s">
        <v>193</v>
      </c>
      <c r="S52" t="s">
        <v>39</v>
      </c>
      <c r="T52" t="s">
        <v>31</v>
      </c>
      <c r="U52" t="s">
        <v>211</v>
      </c>
      <c r="W52" s="1">
        <f>+W45*(1-[11]Johnson_etal_2014_Fig4!$B5/100)</f>
        <v>2.7019550615704483E-8</v>
      </c>
      <c r="Z52"/>
      <c r="AA52" t="s">
        <v>18</v>
      </c>
      <c r="AB52" t="s">
        <v>285</v>
      </c>
    </row>
    <row r="53" spans="1:28" x14ac:dyDescent="0.35">
      <c r="A53" t="s">
        <v>37</v>
      </c>
      <c r="B53" t="s">
        <v>33</v>
      </c>
      <c r="C53" t="s">
        <v>34</v>
      </c>
      <c r="D53" t="s">
        <v>35</v>
      </c>
      <c r="E53" t="s">
        <v>12</v>
      </c>
      <c r="F53" t="s">
        <v>36</v>
      </c>
      <c r="G53" t="s">
        <v>215</v>
      </c>
      <c r="H53" t="s">
        <v>282</v>
      </c>
      <c r="I53" t="s">
        <v>241</v>
      </c>
      <c r="K53" t="s">
        <v>221</v>
      </c>
      <c r="L53" t="s">
        <v>238</v>
      </c>
      <c r="M53" t="str">
        <f t="shared" si="10"/>
        <v>Stress</v>
      </c>
      <c r="N53" t="s">
        <v>223</v>
      </c>
      <c r="O53" t="s">
        <v>243</v>
      </c>
      <c r="R53" t="s">
        <v>193</v>
      </c>
      <c r="S53" t="s">
        <v>38</v>
      </c>
      <c r="T53" t="s">
        <v>31</v>
      </c>
      <c r="U53" t="s">
        <v>211</v>
      </c>
      <c r="W53" s="1">
        <f>+W46*(1-[11]Johnson_etal_2014_Fig4!$B6/100)</f>
        <v>1.0319927316777725E-9</v>
      </c>
      <c r="Z53"/>
      <c r="AA53" t="s">
        <v>18</v>
      </c>
      <c r="AB53" t="s">
        <v>285</v>
      </c>
    </row>
    <row r="54" spans="1:28" x14ac:dyDescent="0.35">
      <c r="A54" t="s">
        <v>37</v>
      </c>
      <c r="B54" t="s">
        <v>33</v>
      </c>
      <c r="C54" t="s">
        <v>34</v>
      </c>
      <c r="D54" t="s">
        <v>35</v>
      </c>
      <c r="E54" t="s">
        <v>12</v>
      </c>
      <c r="F54" t="s">
        <v>36</v>
      </c>
      <c r="G54" t="s">
        <v>215</v>
      </c>
      <c r="H54" t="s">
        <v>282</v>
      </c>
      <c r="I54" t="s">
        <v>241</v>
      </c>
      <c r="K54" t="s">
        <v>221</v>
      </c>
      <c r="L54" t="s">
        <v>238</v>
      </c>
      <c r="M54" t="str">
        <f t="shared" si="10"/>
        <v>Stress</v>
      </c>
      <c r="N54" t="s">
        <v>224</v>
      </c>
      <c r="O54" t="s">
        <v>243</v>
      </c>
      <c r="R54" t="s">
        <v>193</v>
      </c>
      <c r="S54" t="s">
        <v>38</v>
      </c>
      <c r="T54" t="s">
        <v>31</v>
      </c>
      <c r="U54" t="s">
        <v>211</v>
      </c>
      <c r="W54" s="1">
        <f>+W47*(1-[11]Johnson_etal_2014_Fig4!$B7/100)</f>
        <v>9.4892978614359263E-10</v>
      </c>
      <c r="Z54"/>
      <c r="AA54" t="s">
        <v>18</v>
      </c>
      <c r="AB54" t="s">
        <v>285</v>
      </c>
    </row>
    <row r="55" spans="1:28" x14ac:dyDescent="0.35">
      <c r="A55" t="s">
        <v>37</v>
      </c>
      <c r="B55" t="s">
        <v>33</v>
      </c>
      <c r="C55" t="s">
        <v>34</v>
      </c>
      <c r="D55" t="s">
        <v>35</v>
      </c>
      <c r="E55" t="s">
        <v>12</v>
      </c>
      <c r="F55" t="s">
        <v>36</v>
      </c>
      <c r="G55" t="s">
        <v>215</v>
      </c>
      <c r="H55" t="s">
        <v>282</v>
      </c>
      <c r="I55" t="s">
        <v>241</v>
      </c>
      <c r="K55" t="s">
        <v>221</v>
      </c>
      <c r="L55" t="s">
        <v>238</v>
      </c>
      <c r="M55" t="str">
        <f t="shared" si="10"/>
        <v>Stress</v>
      </c>
      <c r="N55" t="s">
        <v>225</v>
      </c>
      <c r="O55" t="s">
        <v>243</v>
      </c>
      <c r="R55" t="s">
        <v>193</v>
      </c>
      <c r="S55" t="s">
        <v>38</v>
      </c>
      <c r="T55" t="s">
        <v>31</v>
      </c>
      <c r="U55" t="s">
        <v>211</v>
      </c>
      <c r="W55" s="1">
        <f>+W48*(1-[11]Johnson_etal_2014_Fig4!$B8/100)</f>
        <v>1.1052276009877421E-9</v>
      </c>
      <c r="Z55"/>
      <c r="AA55" t="s">
        <v>18</v>
      </c>
      <c r="AB55" t="s">
        <v>285</v>
      </c>
    </row>
    <row r="56" spans="1:28" x14ac:dyDescent="0.35">
      <c r="A56" t="s">
        <v>40</v>
      </c>
      <c r="B56" t="s">
        <v>42</v>
      </c>
      <c r="C56" t="s">
        <v>43</v>
      </c>
      <c r="D56" t="s">
        <v>11</v>
      </c>
      <c r="E56" t="s">
        <v>12</v>
      </c>
      <c r="F56" t="s">
        <v>13</v>
      </c>
      <c r="G56" t="s">
        <v>13</v>
      </c>
      <c r="H56" t="s">
        <v>13</v>
      </c>
      <c r="I56" t="s">
        <v>242</v>
      </c>
      <c r="J56">
        <f>+AVERAGE(15,17)</f>
        <v>16</v>
      </c>
      <c r="K56" t="s">
        <v>45</v>
      </c>
      <c r="L56" t="s">
        <v>16</v>
      </c>
      <c r="M56" t="str">
        <f t="shared" si="10"/>
        <v>Control</v>
      </c>
      <c r="R56" t="s">
        <v>193</v>
      </c>
      <c r="S56" t="s">
        <v>25</v>
      </c>
      <c r="T56" t="s">
        <v>31</v>
      </c>
      <c r="U56" t="s">
        <v>212</v>
      </c>
      <c r="W56" s="1">
        <f>[12]Fricke_etal_2014_Fig2c!B2</f>
        <v>6.5089722675366997E-8</v>
      </c>
      <c r="Z56" s="2">
        <f>[13]Fricke_etal_2014_Fig2b!B2</f>
        <v>0.42258064516129001</v>
      </c>
      <c r="AA56" t="s">
        <v>41</v>
      </c>
      <c r="AB56" t="s">
        <v>285</v>
      </c>
    </row>
    <row r="57" spans="1:28" x14ac:dyDescent="0.35">
      <c r="A57" t="s">
        <v>40</v>
      </c>
      <c r="B57" t="s">
        <v>42</v>
      </c>
      <c r="C57" t="s">
        <v>43</v>
      </c>
      <c r="D57" t="s">
        <v>11</v>
      </c>
      <c r="E57" t="s">
        <v>12</v>
      </c>
      <c r="F57" t="s">
        <v>13</v>
      </c>
      <c r="G57" t="s">
        <v>13</v>
      </c>
      <c r="H57" t="s">
        <v>13</v>
      </c>
      <c r="I57" t="s">
        <v>242</v>
      </c>
      <c r="J57">
        <f t="shared" ref="J57" si="11">+AVERAGE(15,17)</f>
        <v>16</v>
      </c>
      <c r="K57" t="s">
        <v>45</v>
      </c>
      <c r="L57" t="s">
        <v>45</v>
      </c>
      <c r="M57" t="str">
        <f t="shared" si="10"/>
        <v>Stress</v>
      </c>
      <c r="R57" t="s">
        <v>193</v>
      </c>
      <c r="S57" t="s">
        <v>25</v>
      </c>
      <c r="T57" t="s">
        <v>31</v>
      </c>
      <c r="U57" t="s">
        <v>212</v>
      </c>
      <c r="W57" s="1">
        <f>[12]Fricke_etal_2014_Fig2c!B3</f>
        <v>2.3491027732463301E-8</v>
      </c>
      <c r="Z57" s="2">
        <f>[13]Fricke_etal_2014_Fig2b!B3</f>
        <v>0.44838709677419297</v>
      </c>
      <c r="AA57" t="s">
        <v>41</v>
      </c>
      <c r="AB57" t="s">
        <v>285</v>
      </c>
    </row>
    <row r="58" spans="1:28" x14ac:dyDescent="0.35">
      <c r="A58" t="s">
        <v>40</v>
      </c>
      <c r="B58" t="s">
        <v>42</v>
      </c>
      <c r="C58" t="s">
        <v>43</v>
      </c>
      <c r="D58" t="s">
        <v>11</v>
      </c>
      <c r="E58" t="s">
        <v>12</v>
      </c>
      <c r="F58" t="s">
        <v>13</v>
      </c>
      <c r="G58" t="s">
        <v>13</v>
      </c>
      <c r="H58" t="s">
        <v>13</v>
      </c>
      <c r="I58" t="s">
        <v>242</v>
      </c>
      <c r="J58">
        <f>+AVERAGE(22,24)</f>
        <v>23</v>
      </c>
      <c r="K58" t="s">
        <v>45</v>
      </c>
      <c r="L58" t="s">
        <v>16</v>
      </c>
      <c r="M58" t="str">
        <f t="shared" si="10"/>
        <v>Control</v>
      </c>
      <c r="R58" t="s">
        <v>193</v>
      </c>
      <c r="S58" t="s">
        <v>25</v>
      </c>
      <c r="T58" t="s">
        <v>31</v>
      </c>
      <c r="U58" t="s">
        <v>212</v>
      </c>
      <c r="W58" s="1">
        <f>[12]Fricke_etal_2014_Fig2c!B4</f>
        <v>3.0016313213703103E-8</v>
      </c>
      <c r="Z58" s="2">
        <f>[13]Fricke_etal_2014_Fig2b!B4</f>
        <v>0.41935483870967699</v>
      </c>
      <c r="AA58" t="s">
        <v>41</v>
      </c>
      <c r="AB58" t="s">
        <v>285</v>
      </c>
    </row>
    <row r="59" spans="1:28" x14ac:dyDescent="0.35">
      <c r="A59" t="s">
        <v>40</v>
      </c>
      <c r="B59" t="s">
        <v>42</v>
      </c>
      <c r="C59" t="s">
        <v>43</v>
      </c>
      <c r="D59" t="s">
        <v>11</v>
      </c>
      <c r="E59" t="s">
        <v>12</v>
      </c>
      <c r="F59" t="s">
        <v>13</v>
      </c>
      <c r="G59" t="s">
        <v>13</v>
      </c>
      <c r="H59" t="s">
        <v>13</v>
      </c>
      <c r="I59" t="s">
        <v>242</v>
      </c>
      <c r="J59">
        <f t="shared" ref="J59:J61" si="12">+AVERAGE(22,24)</f>
        <v>23</v>
      </c>
      <c r="K59" t="s">
        <v>45</v>
      </c>
      <c r="L59" t="s">
        <v>45</v>
      </c>
      <c r="M59" t="str">
        <f t="shared" si="10"/>
        <v>Stress</v>
      </c>
      <c r="R59" t="s">
        <v>193</v>
      </c>
      <c r="S59" t="s">
        <v>25</v>
      </c>
      <c r="T59" t="s">
        <v>31</v>
      </c>
      <c r="U59" t="s">
        <v>212</v>
      </c>
      <c r="W59" s="1">
        <f>[12]Fricke_etal_2014_Fig2c!B5</f>
        <v>3.1810766721044E-8</v>
      </c>
      <c r="Z59" s="2">
        <f>[13]Fricke_etal_2014_Fig2b!B5</f>
        <v>0.44677419354838699</v>
      </c>
      <c r="AA59" t="s">
        <v>41</v>
      </c>
      <c r="AB59" t="s">
        <v>285</v>
      </c>
    </row>
    <row r="60" spans="1:28" x14ac:dyDescent="0.35">
      <c r="A60" t="s">
        <v>40</v>
      </c>
      <c r="B60" t="s">
        <v>42</v>
      </c>
      <c r="C60" t="s">
        <v>43</v>
      </c>
      <c r="D60" t="s">
        <v>11</v>
      </c>
      <c r="E60" t="s">
        <v>12</v>
      </c>
      <c r="F60" t="s">
        <v>13</v>
      </c>
      <c r="G60" t="s">
        <v>13</v>
      </c>
      <c r="H60" t="s">
        <v>13</v>
      </c>
      <c r="I60" t="s">
        <v>242</v>
      </c>
      <c r="J60">
        <f t="shared" si="12"/>
        <v>23</v>
      </c>
      <c r="K60" t="s">
        <v>45</v>
      </c>
      <c r="L60" t="s">
        <v>16</v>
      </c>
      <c r="M60" t="str">
        <f t="shared" si="10"/>
        <v>Control</v>
      </c>
      <c r="R60" t="s">
        <v>193</v>
      </c>
      <c r="S60" t="s">
        <v>44</v>
      </c>
      <c r="T60" t="s">
        <v>31</v>
      </c>
      <c r="U60" t="s">
        <v>212</v>
      </c>
      <c r="W60" s="1">
        <f>[12]Fricke_etal_2014_Fig2c!B6</f>
        <v>2.67536704730832E-8</v>
      </c>
      <c r="Z60" s="2">
        <f>[13]Fricke_etal_2014_Fig2b!B6</f>
        <v>0.793548387096773</v>
      </c>
      <c r="AA60" t="s">
        <v>41</v>
      </c>
      <c r="AB60" t="s">
        <v>285</v>
      </c>
    </row>
    <row r="61" spans="1:28" x14ac:dyDescent="0.35">
      <c r="A61" t="s">
        <v>40</v>
      </c>
      <c r="B61" t="s">
        <v>42</v>
      </c>
      <c r="C61" t="s">
        <v>43</v>
      </c>
      <c r="D61" t="s">
        <v>11</v>
      </c>
      <c r="E61" t="s">
        <v>12</v>
      </c>
      <c r="F61" t="s">
        <v>13</v>
      </c>
      <c r="G61" t="s">
        <v>13</v>
      </c>
      <c r="H61" t="s">
        <v>13</v>
      </c>
      <c r="I61" t="s">
        <v>242</v>
      </c>
      <c r="J61">
        <f t="shared" si="12"/>
        <v>23</v>
      </c>
      <c r="K61" t="s">
        <v>45</v>
      </c>
      <c r="L61" t="s">
        <v>45</v>
      </c>
      <c r="M61" t="str">
        <f t="shared" si="10"/>
        <v>Stress</v>
      </c>
      <c r="R61" t="s">
        <v>193</v>
      </c>
      <c r="S61" t="s">
        <v>44</v>
      </c>
      <c r="T61" t="s">
        <v>31</v>
      </c>
      <c r="U61" t="s">
        <v>212</v>
      </c>
      <c r="W61" s="1">
        <f>[12]Fricke_etal_2014_Fig2c!B7</f>
        <v>1.46818923327895E-8</v>
      </c>
      <c r="Z61" s="2">
        <f>[13]Fricke_etal_2014_Fig2b!B7</f>
        <v>0.62419354838709595</v>
      </c>
      <c r="AA61" t="s">
        <v>41</v>
      </c>
      <c r="AB61" t="s">
        <v>285</v>
      </c>
    </row>
    <row r="62" spans="1:28" x14ac:dyDescent="0.35">
      <c r="A62" t="s">
        <v>46</v>
      </c>
      <c r="B62" t="s">
        <v>9</v>
      </c>
      <c r="C62" t="s">
        <v>10</v>
      </c>
      <c r="D62" t="s">
        <v>11</v>
      </c>
      <c r="E62" t="s">
        <v>12</v>
      </c>
      <c r="F62" t="s">
        <v>13</v>
      </c>
      <c r="G62" t="s">
        <v>13</v>
      </c>
      <c r="H62" t="s">
        <v>13</v>
      </c>
      <c r="I62" t="s">
        <v>242</v>
      </c>
      <c r="J62">
        <f>+AVERAGE(9,13)</f>
        <v>11</v>
      </c>
      <c r="K62" t="s">
        <v>281</v>
      </c>
      <c r="L62" t="s">
        <v>281</v>
      </c>
      <c r="M62" t="s">
        <v>281</v>
      </c>
      <c r="R62" t="s">
        <v>193</v>
      </c>
      <c r="S62" t="s">
        <v>25</v>
      </c>
      <c r="T62" t="s">
        <v>31</v>
      </c>
      <c r="U62" t="s">
        <v>211</v>
      </c>
      <c r="W62" s="1">
        <f>[14]Suku_etal_2013_Fig5!B2</f>
        <v>2.0674955595026601E-7</v>
      </c>
      <c r="X62" s="2"/>
      <c r="AA62" t="s">
        <v>21</v>
      </c>
      <c r="AB62" t="s">
        <v>285</v>
      </c>
    </row>
    <row r="63" spans="1:28" x14ac:dyDescent="0.35">
      <c r="A63" t="s">
        <v>46</v>
      </c>
      <c r="B63" t="s">
        <v>9</v>
      </c>
      <c r="C63" t="s">
        <v>10</v>
      </c>
      <c r="D63" t="s">
        <v>11</v>
      </c>
      <c r="E63" t="s">
        <v>12</v>
      </c>
      <c r="F63" t="s">
        <v>13</v>
      </c>
      <c r="G63" t="s">
        <v>13</v>
      </c>
      <c r="H63" t="s">
        <v>13</v>
      </c>
      <c r="I63" t="s">
        <v>242</v>
      </c>
      <c r="J63">
        <f>+AVERAGE(14,18)</f>
        <v>16</v>
      </c>
      <c r="K63" t="s">
        <v>281</v>
      </c>
      <c r="L63" t="s">
        <v>281</v>
      </c>
      <c r="M63" t="s">
        <v>281</v>
      </c>
      <c r="R63" t="s">
        <v>193</v>
      </c>
      <c r="S63" t="s">
        <v>25</v>
      </c>
      <c r="T63" t="s">
        <v>31</v>
      </c>
      <c r="U63" t="s">
        <v>211</v>
      </c>
      <c r="W63" s="1">
        <f>[14]Suku_etal_2013_Fig5!B3</f>
        <v>2.0035523978685601E-7</v>
      </c>
      <c r="X63" s="2"/>
      <c r="AA63" t="s">
        <v>21</v>
      </c>
      <c r="AB63" t="s">
        <v>285</v>
      </c>
    </row>
    <row r="64" spans="1:28" x14ac:dyDescent="0.35">
      <c r="A64" t="s">
        <v>46</v>
      </c>
      <c r="B64" t="s">
        <v>9</v>
      </c>
      <c r="C64" t="s">
        <v>10</v>
      </c>
      <c r="D64" t="s">
        <v>11</v>
      </c>
      <c r="E64" t="s">
        <v>12</v>
      </c>
      <c r="F64" t="s">
        <v>13</v>
      </c>
      <c r="G64" t="s">
        <v>13</v>
      </c>
      <c r="H64" t="s">
        <v>13</v>
      </c>
      <c r="I64" t="s">
        <v>242</v>
      </c>
      <c r="J64">
        <f t="shared" ref="J64" si="13">+AVERAGE(14,18)</f>
        <v>16</v>
      </c>
      <c r="K64" t="s">
        <v>281</v>
      </c>
      <c r="L64" t="s">
        <v>281</v>
      </c>
      <c r="M64" t="s">
        <v>281</v>
      </c>
      <c r="R64" t="s">
        <v>193</v>
      </c>
      <c r="S64" t="s">
        <v>44</v>
      </c>
      <c r="T64" t="s">
        <v>31</v>
      </c>
      <c r="U64" t="s">
        <v>211</v>
      </c>
      <c r="W64" s="1">
        <f>[14]Suku_etal_2013_Fig5!B4</f>
        <v>2.2877442273534599E-7</v>
      </c>
      <c r="X64" s="2"/>
      <c r="AA64" t="s">
        <v>21</v>
      </c>
      <c r="AB64" t="s">
        <v>285</v>
      </c>
    </row>
    <row r="65" spans="1:28" x14ac:dyDescent="0.35">
      <c r="A65" t="s">
        <v>46</v>
      </c>
      <c r="B65" t="s">
        <v>9</v>
      </c>
      <c r="C65" t="s">
        <v>10</v>
      </c>
      <c r="D65" t="s">
        <v>11</v>
      </c>
      <c r="E65" t="s">
        <v>12</v>
      </c>
      <c r="F65" t="s">
        <v>13</v>
      </c>
      <c r="G65" t="s">
        <v>13</v>
      </c>
      <c r="H65" t="s">
        <v>13</v>
      </c>
      <c r="I65" t="s">
        <v>242</v>
      </c>
      <c r="J65">
        <f>+AVERAGE(19,23)</f>
        <v>21</v>
      </c>
      <c r="K65" t="s">
        <v>281</v>
      </c>
      <c r="L65" t="s">
        <v>281</v>
      </c>
      <c r="M65" t="s">
        <v>281</v>
      </c>
      <c r="R65" t="s">
        <v>193</v>
      </c>
      <c r="S65" t="s">
        <v>25</v>
      </c>
      <c r="T65" t="s">
        <v>31</v>
      </c>
      <c r="U65" t="s">
        <v>211</v>
      </c>
      <c r="W65" s="1">
        <f>[14]Suku_etal_2013_Fig5!B5</f>
        <v>2.9982238010657098E-7</v>
      </c>
      <c r="X65" s="2"/>
      <c r="AA65" t="s">
        <v>21</v>
      </c>
      <c r="AB65" t="s">
        <v>285</v>
      </c>
    </row>
    <row r="66" spans="1:28" x14ac:dyDescent="0.35">
      <c r="A66" t="s">
        <v>46</v>
      </c>
      <c r="B66" t="s">
        <v>9</v>
      </c>
      <c r="C66" t="s">
        <v>10</v>
      </c>
      <c r="D66" t="s">
        <v>11</v>
      </c>
      <c r="E66" t="s">
        <v>12</v>
      </c>
      <c r="F66" t="s">
        <v>13</v>
      </c>
      <c r="G66" t="s">
        <v>13</v>
      </c>
      <c r="H66" t="s">
        <v>13</v>
      </c>
      <c r="I66" t="s">
        <v>242</v>
      </c>
      <c r="J66">
        <f>+AVERAGE(19,23)</f>
        <v>21</v>
      </c>
      <c r="K66" t="s">
        <v>281</v>
      </c>
      <c r="L66" t="s">
        <v>281</v>
      </c>
      <c r="M66" t="s">
        <v>281</v>
      </c>
      <c r="R66" t="s">
        <v>193</v>
      </c>
      <c r="S66" t="s">
        <v>44</v>
      </c>
      <c r="T66" t="s">
        <v>31</v>
      </c>
      <c r="U66" t="s">
        <v>211</v>
      </c>
      <c r="W66" s="1">
        <f>[14]Suku_etal_2013_Fig5!B6</f>
        <v>2.47246891651864E-7</v>
      </c>
      <c r="X66" s="2"/>
      <c r="AA66" t="s">
        <v>21</v>
      </c>
      <c r="AB66" t="s">
        <v>285</v>
      </c>
    </row>
    <row r="67" spans="1:28" x14ac:dyDescent="0.35">
      <c r="A67" t="s">
        <v>46</v>
      </c>
      <c r="B67" t="s">
        <v>9</v>
      </c>
      <c r="C67" t="s">
        <v>10</v>
      </c>
      <c r="D67" t="s">
        <v>11</v>
      </c>
      <c r="E67" t="s">
        <v>12</v>
      </c>
      <c r="F67" t="s">
        <v>13</v>
      </c>
      <c r="G67" t="s">
        <v>13</v>
      </c>
      <c r="H67" t="s">
        <v>13</v>
      </c>
      <c r="I67" t="s">
        <v>242</v>
      </c>
      <c r="J67">
        <f>+AVERAGE(24,28)</f>
        <v>26</v>
      </c>
      <c r="K67" t="s">
        <v>281</v>
      </c>
      <c r="L67" t="s">
        <v>281</v>
      </c>
      <c r="M67" t="s">
        <v>281</v>
      </c>
      <c r="R67" t="s">
        <v>193</v>
      </c>
      <c r="S67" t="s">
        <v>25</v>
      </c>
      <c r="T67" t="s">
        <v>31</v>
      </c>
      <c r="U67" t="s">
        <v>211</v>
      </c>
      <c r="W67" s="1">
        <f>[14]Suku_etal_2013_Fig5!B7</f>
        <v>2.4866785079928898E-7</v>
      </c>
      <c r="X67" s="2"/>
      <c r="AA67" t="s">
        <v>21</v>
      </c>
      <c r="AB67" t="s">
        <v>285</v>
      </c>
    </row>
    <row r="68" spans="1:28" x14ac:dyDescent="0.35">
      <c r="A68" t="s">
        <v>46</v>
      </c>
      <c r="B68" t="s">
        <v>9</v>
      </c>
      <c r="C68" t="s">
        <v>10</v>
      </c>
      <c r="D68" t="s">
        <v>11</v>
      </c>
      <c r="E68" t="s">
        <v>12</v>
      </c>
      <c r="F68" t="s">
        <v>13</v>
      </c>
      <c r="G68" t="s">
        <v>13</v>
      </c>
      <c r="H68" t="s">
        <v>13</v>
      </c>
      <c r="I68" t="s">
        <v>242</v>
      </c>
      <c r="J68">
        <f>+AVERAGE(24,28)</f>
        <v>26</v>
      </c>
      <c r="K68" t="s">
        <v>281</v>
      </c>
      <c r="L68" t="s">
        <v>281</v>
      </c>
      <c r="M68" t="s">
        <v>281</v>
      </c>
      <c r="R68" t="s">
        <v>193</v>
      </c>
      <c r="S68" t="s">
        <v>44</v>
      </c>
      <c r="T68" t="s">
        <v>31</v>
      </c>
      <c r="U68" t="s">
        <v>211</v>
      </c>
      <c r="W68" s="1">
        <f>[14]Suku_etal_2013_Fig5!B8</f>
        <v>2.2999999999999999E-7</v>
      </c>
      <c r="X68" s="2"/>
      <c r="AA68" t="s">
        <v>21</v>
      </c>
      <c r="AB68" t="s">
        <v>285</v>
      </c>
    </row>
    <row r="69" spans="1:28" x14ac:dyDescent="0.35">
      <c r="A69" t="s">
        <v>48</v>
      </c>
      <c r="B69" t="s">
        <v>47</v>
      </c>
      <c r="C69" t="s">
        <v>209</v>
      </c>
      <c r="D69" t="s">
        <v>17</v>
      </c>
      <c r="E69" t="s">
        <v>12</v>
      </c>
      <c r="F69" t="s">
        <v>205</v>
      </c>
      <c r="G69" t="s">
        <v>205</v>
      </c>
      <c r="H69" t="s">
        <v>205</v>
      </c>
      <c r="I69" t="s">
        <v>294</v>
      </c>
      <c r="J69">
        <f>+AVERAGE(6,8)*7</f>
        <v>49</v>
      </c>
      <c r="K69" t="s">
        <v>50</v>
      </c>
      <c r="L69" t="s">
        <v>16</v>
      </c>
      <c r="M69" t="str">
        <f t="shared" ref="M69:M87" si="14">+IF(L69="Control","Control","Stress")</f>
        <v>Control</v>
      </c>
      <c r="R69" t="s">
        <v>193</v>
      </c>
      <c r="S69" t="s">
        <v>23</v>
      </c>
      <c r="T69" t="s">
        <v>26</v>
      </c>
      <c r="U69" t="s">
        <v>211</v>
      </c>
      <c r="W69" s="1">
        <f>[15]Gambetta_etal_2013_Fig3a!B2</f>
        <v>5.6071428571428502E-7</v>
      </c>
      <c r="Z69"/>
      <c r="AA69" t="s">
        <v>52</v>
      </c>
      <c r="AB69" t="s">
        <v>285</v>
      </c>
    </row>
    <row r="70" spans="1:28" x14ac:dyDescent="0.35">
      <c r="A70" t="s">
        <v>48</v>
      </c>
      <c r="B70" t="s">
        <v>47</v>
      </c>
      <c r="C70" t="s">
        <v>209</v>
      </c>
      <c r="D70" t="s">
        <v>17</v>
      </c>
      <c r="E70" t="s">
        <v>12</v>
      </c>
      <c r="F70" t="s">
        <v>205</v>
      </c>
      <c r="G70" t="s">
        <v>205</v>
      </c>
      <c r="H70" t="s">
        <v>205</v>
      </c>
      <c r="I70" t="s">
        <v>294</v>
      </c>
      <c r="J70">
        <f t="shared" ref="J70:J72" si="15">+AVERAGE(6,8)*7</f>
        <v>49</v>
      </c>
      <c r="K70" t="s">
        <v>50</v>
      </c>
      <c r="L70" t="s">
        <v>16</v>
      </c>
      <c r="M70" t="str">
        <f t="shared" si="14"/>
        <v>Control</v>
      </c>
      <c r="R70" t="s">
        <v>193</v>
      </c>
      <c r="S70" t="s">
        <v>23</v>
      </c>
      <c r="T70" t="s">
        <v>70</v>
      </c>
      <c r="U70" t="s">
        <v>211</v>
      </c>
      <c r="W70" s="1">
        <f>[15]Gambetta_etal_2013_Fig3a!B3</f>
        <v>4.1071428571428499E-8</v>
      </c>
      <c r="Z70"/>
      <c r="AA70" t="s">
        <v>52</v>
      </c>
      <c r="AB70" t="s">
        <v>285</v>
      </c>
    </row>
    <row r="71" spans="1:28" x14ac:dyDescent="0.35">
      <c r="A71" t="s">
        <v>48</v>
      </c>
      <c r="B71" t="s">
        <v>47</v>
      </c>
      <c r="C71" t="s">
        <v>209</v>
      </c>
      <c r="D71" t="s">
        <v>17</v>
      </c>
      <c r="E71" t="s">
        <v>12</v>
      </c>
      <c r="F71" t="s">
        <v>205</v>
      </c>
      <c r="G71" t="s">
        <v>205</v>
      </c>
      <c r="H71" t="s">
        <v>205</v>
      </c>
      <c r="I71" t="s">
        <v>294</v>
      </c>
      <c r="J71">
        <f t="shared" si="15"/>
        <v>49</v>
      </c>
      <c r="K71" t="s">
        <v>50</v>
      </c>
      <c r="L71" t="s">
        <v>238</v>
      </c>
      <c r="M71" t="str">
        <f t="shared" si="14"/>
        <v>Stress</v>
      </c>
      <c r="R71" t="s">
        <v>193</v>
      </c>
      <c r="S71" t="s">
        <v>23</v>
      </c>
      <c r="T71" t="s">
        <v>26</v>
      </c>
      <c r="U71" t="s">
        <v>211</v>
      </c>
      <c r="W71" s="1">
        <f>+W69*(1-0.05)</f>
        <v>5.326785714285707E-7</v>
      </c>
      <c r="Z71"/>
      <c r="AA71" t="s">
        <v>52</v>
      </c>
      <c r="AB71" t="s">
        <v>285</v>
      </c>
    </row>
    <row r="72" spans="1:28" x14ac:dyDescent="0.35">
      <c r="A72" t="s">
        <v>48</v>
      </c>
      <c r="B72" t="s">
        <v>47</v>
      </c>
      <c r="C72" t="s">
        <v>209</v>
      </c>
      <c r="D72" t="s">
        <v>17</v>
      </c>
      <c r="E72" t="s">
        <v>12</v>
      </c>
      <c r="F72" t="s">
        <v>205</v>
      </c>
      <c r="G72" t="s">
        <v>205</v>
      </c>
      <c r="H72" t="s">
        <v>205</v>
      </c>
      <c r="I72" t="s">
        <v>294</v>
      </c>
      <c r="J72">
        <f t="shared" si="15"/>
        <v>49</v>
      </c>
      <c r="K72" t="s">
        <v>50</v>
      </c>
      <c r="L72" t="s">
        <v>238</v>
      </c>
      <c r="M72" t="str">
        <f t="shared" si="14"/>
        <v>Stress</v>
      </c>
      <c r="R72" t="s">
        <v>193</v>
      </c>
      <c r="S72" t="s">
        <v>23</v>
      </c>
      <c r="T72" t="s">
        <v>70</v>
      </c>
      <c r="U72" t="s">
        <v>211</v>
      </c>
      <c r="W72" s="1">
        <f>+W70</f>
        <v>4.1071428571428499E-8</v>
      </c>
      <c r="Z72"/>
      <c r="AA72" t="s">
        <v>52</v>
      </c>
      <c r="AB72" t="s">
        <v>285</v>
      </c>
    </row>
    <row r="73" spans="1:28" x14ac:dyDescent="0.35">
      <c r="A73" t="s">
        <v>49</v>
      </c>
      <c r="B73" t="s">
        <v>19</v>
      </c>
      <c r="C73" t="s">
        <v>20</v>
      </c>
      <c r="D73" t="s">
        <v>11</v>
      </c>
      <c r="E73" t="s">
        <v>14</v>
      </c>
      <c r="F73" t="s">
        <v>15</v>
      </c>
      <c r="G73" t="s">
        <v>15</v>
      </c>
      <c r="H73" t="s">
        <v>15</v>
      </c>
      <c r="I73" t="s">
        <v>242</v>
      </c>
      <c r="J73">
        <f>+AVERAGE(7,9)</f>
        <v>8</v>
      </c>
      <c r="K73" t="s">
        <v>50</v>
      </c>
      <c r="L73" t="s">
        <v>16</v>
      </c>
      <c r="M73" t="str">
        <f t="shared" si="14"/>
        <v>Control</v>
      </c>
      <c r="R73" t="s">
        <v>193</v>
      </c>
      <c r="S73" t="s">
        <v>29</v>
      </c>
      <c r="T73" t="s">
        <v>31</v>
      </c>
      <c r="U73" t="s">
        <v>212</v>
      </c>
      <c r="W73" s="1">
        <v>5.8999999999999999E-9</v>
      </c>
      <c r="Z73"/>
      <c r="AA73" t="s">
        <v>41</v>
      </c>
      <c r="AB73" t="s">
        <v>285</v>
      </c>
    </row>
    <row r="74" spans="1:28" x14ac:dyDescent="0.35">
      <c r="A74" t="s">
        <v>49</v>
      </c>
      <c r="B74" t="s">
        <v>19</v>
      </c>
      <c r="C74" t="s">
        <v>20</v>
      </c>
      <c r="D74" t="s">
        <v>11</v>
      </c>
      <c r="E74" t="s">
        <v>14</v>
      </c>
      <c r="F74" t="s">
        <v>15</v>
      </c>
      <c r="G74" t="s">
        <v>15</v>
      </c>
      <c r="H74" t="s">
        <v>15</v>
      </c>
      <c r="I74" t="s">
        <v>242</v>
      </c>
      <c r="J74">
        <f>+AVERAGE(7,9)</f>
        <v>8</v>
      </c>
      <c r="K74" t="s">
        <v>50</v>
      </c>
      <c r="L74" t="s">
        <v>238</v>
      </c>
      <c r="M74" t="str">
        <f t="shared" si="14"/>
        <v>Stress</v>
      </c>
      <c r="R74" t="s">
        <v>193</v>
      </c>
      <c r="S74" t="s">
        <v>29</v>
      </c>
      <c r="T74" t="s">
        <v>31</v>
      </c>
      <c r="U74" t="s">
        <v>212</v>
      </c>
      <c r="W74" s="1">
        <v>4.8999999999999996E-10</v>
      </c>
      <c r="Z74"/>
      <c r="AA74" t="s">
        <v>41</v>
      </c>
      <c r="AB74" t="s">
        <v>285</v>
      </c>
    </row>
    <row r="75" spans="1:28" x14ac:dyDescent="0.35">
      <c r="A75" t="s">
        <v>49</v>
      </c>
      <c r="B75" t="s">
        <v>19</v>
      </c>
      <c r="C75" t="s">
        <v>20</v>
      </c>
      <c r="D75" t="s">
        <v>11</v>
      </c>
      <c r="E75" t="s">
        <v>14</v>
      </c>
      <c r="F75" t="s">
        <v>15</v>
      </c>
      <c r="G75" t="s">
        <v>15</v>
      </c>
      <c r="H75" t="s">
        <v>15</v>
      </c>
      <c r="I75" t="s">
        <v>242</v>
      </c>
      <c r="J75">
        <v>10</v>
      </c>
      <c r="K75" t="s">
        <v>50</v>
      </c>
      <c r="L75" t="s">
        <v>16</v>
      </c>
      <c r="M75" t="str">
        <f t="shared" si="14"/>
        <v>Control</v>
      </c>
      <c r="R75" t="s">
        <v>193</v>
      </c>
      <c r="S75" t="s">
        <v>29</v>
      </c>
      <c r="T75" t="s">
        <v>31</v>
      </c>
      <c r="U75" t="s">
        <v>211</v>
      </c>
      <c r="W75" s="1">
        <v>8.3999999999999998E-8</v>
      </c>
      <c r="Z75"/>
      <c r="AA75" t="s">
        <v>51</v>
      </c>
      <c r="AB75" t="s">
        <v>285</v>
      </c>
    </row>
    <row r="76" spans="1:28" x14ac:dyDescent="0.35">
      <c r="A76" t="s">
        <v>53</v>
      </c>
      <c r="B76" t="s">
        <v>47</v>
      </c>
      <c r="C76" t="s">
        <v>209</v>
      </c>
      <c r="D76" t="s">
        <v>17</v>
      </c>
      <c r="E76" t="s">
        <v>12</v>
      </c>
      <c r="F76" t="s">
        <v>205</v>
      </c>
      <c r="G76" t="s">
        <v>205</v>
      </c>
      <c r="H76" t="s">
        <v>205</v>
      </c>
      <c r="I76" t="s">
        <v>294</v>
      </c>
      <c r="K76" t="s">
        <v>248</v>
      </c>
      <c r="L76" t="s">
        <v>16</v>
      </c>
      <c r="M76" t="str">
        <f t="shared" si="14"/>
        <v>Control</v>
      </c>
      <c r="N76" t="s">
        <v>188</v>
      </c>
      <c r="O76" t="s">
        <v>243</v>
      </c>
      <c r="R76" t="s">
        <v>193</v>
      </c>
      <c r="S76" t="s">
        <v>23</v>
      </c>
      <c r="T76" t="s">
        <v>31</v>
      </c>
      <c r="U76" t="s">
        <v>211</v>
      </c>
      <c r="W76" s="1">
        <f>[16]Gambetta_etal_2012_Fig4!B2</f>
        <v>5.6098310291858599E-8</v>
      </c>
      <c r="Z76"/>
      <c r="AA76" t="s">
        <v>52</v>
      </c>
      <c r="AB76" t="s">
        <v>285</v>
      </c>
    </row>
    <row r="77" spans="1:28" x14ac:dyDescent="0.35">
      <c r="A77" t="s">
        <v>53</v>
      </c>
      <c r="B77" t="s">
        <v>47</v>
      </c>
      <c r="C77" t="s">
        <v>209</v>
      </c>
      <c r="D77" t="s">
        <v>17</v>
      </c>
      <c r="E77" t="s">
        <v>12</v>
      </c>
      <c r="F77" t="s">
        <v>205</v>
      </c>
      <c r="G77" t="s">
        <v>205</v>
      </c>
      <c r="H77" t="s">
        <v>205</v>
      </c>
      <c r="I77" t="s">
        <v>294</v>
      </c>
      <c r="K77" t="s">
        <v>248</v>
      </c>
      <c r="L77" t="s">
        <v>16</v>
      </c>
      <c r="M77" t="str">
        <f t="shared" si="14"/>
        <v>Control</v>
      </c>
      <c r="N77" t="s">
        <v>181</v>
      </c>
      <c r="O77" t="s">
        <v>243</v>
      </c>
      <c r="R77" t="s">
        <v>193</v>
      </c>
      <c r="S77" t="s">
        <v>23</v>
      </c>
      <c r="T77" t="s">
        <v>31</v>
      </c>
      <c r="U77" t="s">
        <v>211</v>
      </c>
      <c r="W77" s="1">
        <f>[16]Gambetta_etal_2012_Fig4!B3</f>
        <v>4.3195084485406998E-8</v>
      </c>
      <c r="Z77"/>
      <c r="AA77" t="s">
        <v>52</v>
      </c>
      <c r="AB77" t="s">
        <v>285</v>
      </c>
    </row>
    <row r="78" spans="1:28" x14ac:dyDescent="0.35">
      <c r="A78" t="s">
        <v>53</v>
      </c>
      <c r="B78" t="s">
        <v>47</v>
      </c>
      <c r="C78" t="s">
        <v>209</v>
      </c>
      <c r="D78" t="s">
        <v>17</v>
      </c>
      <c r="E78" t="s">
        <v>12</v>
      </c>
      <c r="F78" t="s">
        <v>205</v>
      </c>
      <c r="G78" t="s">
        <v>205</v>
      </c>
      <c r="H78" t="s">
        <v>205</v>
      </c>
      <c r="I78" t="s">
        <v>294</v>
      </c>
      <c r="K78" t="s">
        <v>248</v>
      </c>
      <c r="L78" t="s">
        <v>16</v>
      </c>
      <c r="M78" t="str">
        <f t="shared" si="14"/>
        <v>Control</v>
      </c>
      <c r="N78" t="s">
        <v>189</v>
      </c>
      <c r="O78" t="s">
        <v>243</v>
      </c>
      <c r="R78" t="s">
        <v>193</v>
      </c>
      <c r="S78" t="s">
        <v>23</v>
      </c>
      <c r="T78" t="s">
        <v>31</v>
      </c>
      <c r="U78" t="s">
        <v>211</v>
      </c>
      <c r="W78" s="1">
        <f>[16]Gambetta_etal_2012_Fig4!B4</f>
        <v>8.4976958525345597E-8</v>
      </c>
      <c r="Z78"/>
      <c r="AA78" t="s">
        <v>52</v>
      </c>
      <c r="AB78" t="s">
        <v>285</v>
      </c>
    </row>
    <row r="79" spans="1:28" x14ac:dyDescent="0.35">
      <c r="A79" t="s">
        <v>53</v>
      </c>
      <c r="B79" t="s">
        <v>47</v>
      </c>
      <c r="C79" t="s">
        <v>209</v>
      </c>
      <c r="D79" t="s">
        <v>17</v>
      </c>
      <c r="E79" t="s">
        <v>12</v>
      </c>
      <c r="F79" t="s">
        <v>205</v>
      </c>
      <c r="G79" t="s">
        <v>205</v>
      </c>
      <c r="H79" t="s">
        <v>205</v>
      </c>
      <c r="I79" t="s">
        <v>294</v>
      </c>
      <c r="K79" t="s">
        <v>248</v>
      </c>
      <c r="L79" t="s">
        <v>16</v>
      </c>
      <c r="M79" t="str">
        <f t="shared" si="14"/>
        <v>Control</v>
      </c>
      <c r="N79" t="s">
        <v>182</v>
      </c>
      <c r="O79" t="s">
        <v>243</v>
      </c>
      <c r="R79" t="s">
        <v>193</v>
      </c>
      <c r="S79" t="s">
        <v>23</v>
      </c>
      <c r="T79" t="s">
        <v>31</v>
      </c>
      <c r="U79" t="s">
        <v>211</v>
      </c>
      <c r="W79" s="1">
        <f>[16]Gambetta_etal_2012_Fig4!B5</f>
        <v>7.3763440860214995E-8</v>
      </c>
      <c r="Z79"/>
      <c r="AA79" t="s">
        <v>52</v>
      </c>
      <c r="AB79" t="s">
        <v>285</v>
      </c>
    </row>
    <row r="80" spans="1:28" x14ac:dyDescent="0.35">
      <c r="A80" t="s">
        <v>53</v>
      </c>
      <c r="B80" t="s">
        <v>47</v>
      </c>
      <c r="C80" t="s">
        <v>209</v>
      </c>
      <c r="D80" t="s">
        <v>17</v>
      </c>
      <c r="E80" t="s">
        <v>12</v>
      </c>
      <c r="F80" t="s">
        <v>205</v>
      </c>
      <c r="G80" t="s">
        <v>205</v>
      </c>
      <c r="H80" t="s">
        <v>205</v>
      </c>
      <c r="I80" t="s">
        <v>294</v>
      </c>
      <c r="K80" t="s">
        <v>248</v>
      </c>
      <c r="L80" t="s">
        <v>238</v>
      </c>
      <c r="M80" t="str">
        <f t="shared" si="14"/>
        <v>Stress</v>
      </c>
      <c r="N80" t="s">
        <v>188</v>
      </c>
      <c r="O80" t="s">
        <v>243</v>
      </c>
      <c r="R80" t="s">
        <v>193</v>
      </c>
      <c r="S80" t="s">
        <v>23</v>
      </c>
      <c r="T80" t="s">
        <v>31</v>
      </c>
      <c r="U80" t="s">
        <v>211</v>
      </c>
      <c r="W80" s="1">
        <f>[16]Gambetta_etal_2012_Fig4!B6</f>
        <v>5.3640552995391602E-8</v>
      </c>
      <c r="Z80"/>
      <c r="AA80" t="s">
        <v>52</v>
      </c>
      <c r="AB80" t="s">
        <v>285</v>
      </c>
    </row>
    <row r="81" spans="1:28" x14ac:dyDescent="0.35">
      <c r="A81" t="s">
        <v>53</v>
      </c>
      <c r="B81" t="s">
        <v>47</v>
      </c>
      <c r="C81" t="s">
        <v>209</v>
      </c>
      <c r="D81" t="s">
        <v>17</v>
      </c>
      <c r="E81" t="s">
        <v>12</v>
      </c>
      <c r="F81" t="s">
        <v>205</v>
      </c>
      <c r="G81" t="s">
        <v>205</v>
      </c>
      <c r="H81" t="s">
        <v>205</v>
      </c>
      <c r="I81" t="s">
        <v>294</v>
      </c>
      <c r="K81" t="s">
        <v>248</v>
      </c>
      <c r="L81" t="s">
        <v>238</v>
      </c>
      <c r="M81" t="str">
        <f t="shared" si="14"/>
        <v>Stress</v>
      </c>
      <c r="N81" t="s">
        <v>181</v>
      </c>
      <c r="O81" t="s">
        <v>243</v>
      </c>
      <c r="R81" t="s">
        <v>193</v>
      </c>
      <c r="S81" t="s">
        <v>23</v>
      </c>
      <c r="T81" t="s">
        <v>31</v>
      </c>
      <c r="U81" t="s">
        <v>211</v>
      </c>
      <c r="W81" s="1">
        <f>[16]Gambetta_etal_2012_Fig4!B7</f>
        <v>3.3056835637480801E-8</v>
      </c>
      <c r="Z81"/>
      <c r="AA81" t="s">
        <v>52</v>
      </c>
      <c r="AB81" t="s">
        <v>285</v>
      </c>
    </row>
    <row r="82" spans="1:28" x14ac:dyDescent="0.35">
      <c r="A82" t="s">
        <v>53</v>
      </c>
      <c r="B82" t="s">
        <v>47</v>
      </c>
      <c r="C82" t="s">
        <v>209</v>
      </c>
      <c r="D82" t="s">
        <v>17</v>
      </c>
      <c r="E82" t="s">
        <v>12</v>
      </c>
      <c r="F82" t="s">
        <v>205</v>
      </c>
      <c r="G82" t="s">
        <v>205</v>
      </c>
      <c r="H82" t="s">
        <v>205</v>
      </c>
      <c r="I82" t="s">
        <v>294</v>
      </c>
      <c r="K82" t="s">
        <v>248</v>
      </c>
      <c r="L82" t="s">
        <v>238</v>
      </c>
      <c r="M82" t="str">
        <f t="shared" si="14"/>
        <v>Stress</v>
      </c>
      <c r="N82" t="s">
        <v>189</v>
      </c>
      <c r="O82" t="s">
        <v>243</v>
      </c>
      <c r="R82" t="s">
        <v>193</v>
      </c>
      <c r="S82" t="s">
        <v>23</v>
      </c>
      <c r="T82" t="s">
        <v>31</v>
      </c>
      <c r="U82" t="s">
        <v>211</v>
      </c>
      <c r="W82" s="1">
        <f>[16]Gambetta_etal_2012_Fig4!B8</f>
        <v>5.0107526881720398E-8</v>
      </c>
      <c r="Z82"/>
      <c r="AA82" t="s">
        <v>52</v>
      </c>
      <c r="AB82" t="s">
        <v>285</v>
      </c>
    </row>
    <row r="83" spans="1:28" x14ac:dyDescent="0.35">
      <c r="A83" t="s">
        <v>53</v>
      </c>
      <c r="B83" t="s">
        <v>47</v>
      </c>
      <c r="C83" t="s">
        <v>209</v>
      </c>
      <c r="D83" t="s">
        <v>17</v>
      </c>
      <c r="E83" t="s">
        <v>12</v>
      </c>
      <c r="F83" t="s">
        <v>205</v>
      </c>
      <c r="G83" t="s">
        <v>205</v>
      </c>
      <c r="H83" t="s">
        <v>205</v>
      </c>
      <c r="I83" t="s">
        <v>294</v>
      </c>
      <c r="K83" t="s">
        <v>248</v>
      </c>
      <c r="L83" t="s">
        <v>238</v>
      </c>
      <c r="M83" t="str">
        <f t="shared" si="14"/>
        <v>Stress</v>
      </c>
      <c r="N83" t="s">
        <v>182</v>
      </c>
      <c r="O83" t="s">
        <v>243</v>
      </c>
      <c r="R83" t="s">
        <v>193</v>
      </c>
      <c r="S83" t="s">
        <v>23</v>
      </c>
      <c r="T83" t="s">
        <v>31</v>
      </c>
      <c r="U83" t="s">
        <v>211</v>
      </c>
      <c r="W83" s="1">
        <f>[16]Gambetta_etal_2012_Fig4!B9</f>
        <v>5.8863287250384003E-8</v>
      </c>
      <c r="Z83"/>
      <c r="AA83" t="s">
        <v>52</v>
      </c>
      <c r="AB83" t="s">
        <v>285</v>
      </c>
    </row>
    <row r="84" spans="1:28" x14ac:dyDescent="0.35">
      <c r="A84" t="s">
        <v>54</v>
      </c>
      <c r="B84" t="s">
        <v>9</v>
      </c>
      <c r="C84" t="s">
        <v>10</v>
      </c>
      <c r="D84" t="s">
        <v>11</v>
      </c>
      <c r="E84" t="s">
        <v>12</v>
      </c>
      <c r="F84" t="s">
        <v>13</v>
      </c>
      <c r="G84" t="s">
        <v>13</v>
      </c>
      <c r="H84" t="s">
        <v>13</v>
      </c>
      <c r="I84" t="s">
        <v>242</v>
      </c>
      <c r="J84">
        <f>+AVERAGE(14,17)</f>
        <v>15.5</v>
      </c>
      <c r="K84" t="s">
        <v>50</v>
      </c>
      <c r="L84" t="s">
        <v>16</v>
      </c>
      <c r="M84" t="str">
        <f t="shared" si="14"/>
        <v>Control</v>
      </c>
      <c r="R84" t="s">
        <v>193</v>
      </c>
      <c r="S84" t="s">
        <v>25</v>
      </c>
      <c r="T84" t="s">
        <v>31</v>
      </c>
      <c r="U84" t="s">
        <v>211</v>
      </c>
      <c r="W84" s="1">
        <v>1.05E-7</v>
      </c>
      <c r="Y84">
        <f>+AVERAGE(6,11)</f>
        <v>8.5</v>
      </c>
      <c r="Z84"/>
      <c r="AA84" t="s">
        <v>41</v>
      </c>
      <c r="AB84" t="s">
        <v>285</v>
      </c>
    </row>
    <row r="85" spans="1:28" x14ac:dyDescent="0.35">
      <c r="A85" t="s">
        <v>54</v>
      </c>
      <c r="B85" t="s">
        <v>9</v>
      </c>
      <c r="C85" t="s">
        <v>10</v>
      </c>
      <c r="D85" t="s">
        <v>11</v>
      </c>
      <c r="E85" t="s">
        <v>12</v>
      </c>
      <c r="F85" t="s">
        <v>13</v>
      </c>
      <c r="G85" t="s">
        <v>13</v>
      </c>
      <c r="H85" t="s">
        <v>13</v>
      </c>
      <c r="I85" t="s">
        <v>242</v>
      </c>
      <c r="J85">
        <f>+AVERAGE(14,17)-AVERAGE(11,13)</f>
        <v>3.5</v>
      </c>
      <c r="K85" t="s">
        <v>50</v>
      </c>
      <c r="L85" t="s">
        <v>16</v>
      </c>
      <c r="M85" t="str">
        <f t="shared" si="14"/>
        <v>Control</v>
      </c>
      <c r="R85" t="s">
        <v>193</v>
      </c>
      <c r="S85" t="s">
        <v>44</v>
      </c>
      <c r="T85" t="s">
        <v>31</v>
      </c>
      <c r="U85" t="s">
        <v>211</v>
      </c>
      <c r="W85" s="1">
        <v>4.4000000000000004E-8</v>
      </c>
      <c r="Y85">
        <f>+AVERAGE(4,6)</f>
        <v>5</v>
      </c>
      <c r="Z85"/>
      <c r="AA85" t="s">
        <v>41</v>
      </c>
      <c r="AB85" t="s">
        <v>285</v>
      </c>
    </row>
    <row r="86" spans="1:28" x14ac:dyDescent="0.35">
      <c r="A86" t="s">
        <v>54</v>
      </c>
      <c r="B86" t="s">
        <v>9</v>
      </c>
      <c r="C86" t="s">
        <v>10</v>
      </c>
      <c r="D86" t="s">
        <v>11</v>
      </c>
      <c r="E86" t="s">
        <v>12</v>
      </c>
      <c r="F86" t="s">
        <v>13</v>
      </c>
      <c r="G86" t="s">
        <v>13</v>
      </c>
      <c r="H86" t="s">
        <v>13</v>
      </c>
      <c r="I86" t="s">
        <v>242</v>
      </c>
      <c r="J86">
        <f t="shared" ref="J86" si="16">+AVERAGE(14,17)</f>
        <v>15.5</v>
      </c>
      <c r="K86" t="s">
        <v>50</v>
      </c>
      <c r="L86" t="s">
        <v>238</v>
      </c>
      <c r="M86" t="str">
        <f t="shared" si="14"/>
        <v>Stress</v>
      </c>
      <c r="R86" t="s">
        <v>193</v>
      </c>
      <c r="S86" t="s">
        <v>25</v>
      </c>
      <c r="T86" t="s">
        <v>31</v>
      </c>
      <c r="U86" t="s">
        <v>211</v>
      </c>
      <c r="W86" s="1">
        <f>47.5/100*W84</f>
        <v>4.9874999999999995E-8</v>
      </c>
      <c r="Y86">
        <f t="shared" ref="Y86" si="17">+AVERAGE(6,11)</f>
        <v>8.5</v>
      </c>
      <c r="Z86"/>
      <c r="AA86" t="s">
        <v>41</v>
      </c>
      <c r="AB86" t="s">
        <v>285</v>
      </c>
    </row>
    <row r="87" spans="1:28" x14ac:dyDescent="0.35">
      <c r="A87" t="s">
        <v>54</v>
      </c>
      <c r="B87" t="s">
        <v>9</v>
      </c>
      <c r="C87" t="s">
        <v>10</v>
      </c>
      <c r="D87" t="s">
        <v>11</v>
      </c>
      <c r="E87" t="s">
        <v>12</v>
      </c>
      <c r="F87" t="s">
        <v>13</v>
      </c>
      <c r="G87" t="s">
        <v>13</v>
      </c>
      <c r="H87" t="s">
        <v>13</v>
      </c>
      <c r="I87" t="s">
        <v>242</v>
      </c>
      <c r="J87">
        <f t="shared" ref="J87" si="18">+AVERAGE(14,17)-AVERAGE(11,13)</f>
        <v>3.5</v>
      </c>
      <c r="K87" t="s">
        <v>50</v>
      </c>
      <c r="L87" t="s">
        <v>238</v>
      </c>
      <c r="M87" t="str">
        <f t="shared" si="14"/>
        <v>Stress</v>
      </c>
      <c r="R87" t="s">
        <v>193</v>
      </c>
      <c r="S87" t="s">
        <v>44</v>
      </c>
      <c r="T87" t="s">
        <v>31</v>
      </c>
      <c r="U87" t="s">
        <v>211</v>
      </c>
      <c r="W87" s="1">
        <f>26.2/100*W85</f>
        <v>1.1528000000000001E-8</v>
      </c>
      <c r="Y87">
        <f t="shared" ref="Y87" si="19">+AVERAGE(4,6)</f>
        <v>5</v>
      </c>
      <c r="Z87"/>
      <c r="AA87" t="s">
        <v>41</v>
      </c>
      <c r="AB87" t="s">
        <v>285</v>
      </c>
    </row>
    <row r="88" spans="1:28" x14ac:dyDescent="0.35">
      <c r="A88" t="s">
        <v>172</v>
      </c>
      <c r="B88" t="s">
        <v>9</v>
      </c>
      <c r="C88" t="s">
        <v>10</v>
      </c>
      <c r="D88" t="s">
        <v>11</v>
      </c>
      <c r="E88" t="s">
        <v>12</v>
      </c>
      <c r="F88" t="s">
        <v>13</v>
      </c>
      <c r="G88" t="s">
        <v>13</v>
      </c>
      <c r="H88" t="s">
        <v>13</v>
      </c>
      <c r="I88" t="s">
        <v>242</v>
      </c>
      <c r="J88">
        <f>+AVERAGE(14,17)</f>
        <v>15.5</v>
      </c>
      <c r="K88" t="s">
        <v>281</v>
      </c>
      <c r="L88" t="s">
        <v>281</v>
      </c>
      <c r="M88" t="s">
        <v>281</v>
      </c>
      <c r="R88" t="s">
        <v>193</v>
      </c>
      <c r="S88" t="s">
        <v>25</v>
      </c>
      <c r="T88" t="s">
        <v>31</v>
      </c>
      <c r="U88" t="s">
        <v>211</v>
      </c>
      <c r="W88" s="1">
        <v>1.3E-7</v>
      </c>
      <c r="X88">
        <v>5.19</v>
      </c>
      <c r="Y88" s="1"/>
      <c r="Z88">
        <v>0.51</v>
      </c>
      <c r="AA88" t="s">
        <v>21</v>
      </c>
      <c r="AB88" t="s">
        <v>285</v>
      </c>
    </row>
    <row r="89" spans="1:28" x14ac:dyDescent="0.35">
      <c r="A89" t="s">
        <v>172</v>
      </c>
      <c r="B89" t="s">
        <v>9</v>
      </c>
      <c r="C89" t="s">
        <v>10</v>
      </c>
      <c r="D89" t="s">
        <v>11</v>
      </c>
      <c r="E89" t="s">
        <v>12</v>
      </c>
      <c r="F89" t="s">
        <v>13</v>
      </c>
      <c r="G89" t="s">
        <v>13</v>
      </c>
      <c r="H89" t="s">
        <v>13</v>
      </c>
      <c r="I89" t="s">
        <v>242</v>
      </c>
      <c r="J89">
        <f t="shared" ref="J89:J102" si="20">+AVERAGE(14,17)</f>
        <v>15.5</v>
      </c>
      <c r="K89" t="s">
        <v>281</v>
      </c>
      <c r="L89" t="s">
        <v>281</v>
      </c>
      <c r="M89" t="s">
        <v>281</v>
      </c>
      <c r="R89" t="s">
        <v>193</v>
      </c>
      <c r="S89" t="s">
        <v>44</v>
      </c>
      <c r="T89" t="s">
        <v>31</v>
      </c>
      <c r="U89" t="s">
        <v>211</v>
      </c>
      <c r="W89" s="1">
        <v>9.9999999999999995E-8</v>
      </c>
      <c r="X89">
        <v>1.53</v>
      </c>
      <c r="Y89" s="1"/>
      <c r="Z89">
        <v>0.97</v>
      </c>
      <c r="AA89" t="s">
        <v>21</v>
      </c>
      <c r="AB89" t="s">
        <v>285</v>
      </c>
    </row>
    <row r="90" spans="1:28" x14ac:dyDescent="0.35">
      <c r="A90" t="s">
        <v>172</v>
      </c>
      <c r="B90" t="s">
        <v>9</v>
      </c>
      <c r="C90" t="s">
        <v>10</v>
      </c>
      <c r="D90" t="s">
        <v>11</v>
      </c>
      <c r="E90" t="s">
        <v>12</v>
      </c>
      <c r="F90" t="s">
        <v>13</v>
      </c>
      <c r="G90" t="s">
        <v>13</v>
      </c>
      <c r="H90" t="s">
        <v>13</v>
      </c>
      <c r="I90" t="s">
        <v>242</v>
      </c>
      <c r="J90">
        <f t="shared" si="20"/>
        <v>15.5</v>
      </c>
      <c r="K90" t="s">
        <v>281</v>
      </c>
      <c r="L90" t="s">
        <v>281</v>
      </c>
      <c r="M90" t="s">
        <v>281</v>
      </c>
      <c r="R90" t="s">
        <v>193</v>
      </c>
      <c r="S90" t="s">
        <v>25</v>
      </c>
      <c r="T90" t="s">
        <v>31</v>
      </c>
      <c r="U90" t="s">
        <v>212</v>
      </c>
      <c r="W90" s="1">
        <v>5.4E-8</v>
      </c>
      <c r="X90">
        <v>5.19</v>
      </c>
      <c r="Y90" s="1"/>
      <c r="Z90">
        <v>0.51</v>
      </c>
      <c r="AA90" t="s">
        <v>21</v>
      </c>
      <c r="AB90" t="s">
        <v>285</v>
      </c>
    </row>
    <row r="91" spans="1:28" x14ac:dyDescent="0.35">
      <c r="A91" t="s">
        <v>172</v>
      </c>
      <c r="B91" t="s">
        <v>9</v>
      </c>
      <c r="C91" t="s">
        <v>10</v>
      </c>
      <c r="D91" t="s">
        <v>11</v>
      </c>
      <c r="E91" t="s">
        <v>12</v>
      </c>
      <c r="F91" t="s">
        <v>13</v>
      </c>
      <c r="G91" t="s">
        <v>13</v>
      </c>
      <c r="H91" t="s">
        <v>13</v>
      </c>
      <c r="I91" t="s">
        <v>242</v>
      </c>
      <c r="J91">
        <f t="shared" si="20"/>
        <v>15.5</v>
      </c>
      <c r="K91" t="s">
        <v>281</v>
      </c>
      <c r="L91" t="s">
        <v>281</v>
      </c>
      <c r="M91" t="s">
        <v>281</v>
      </c>
      <c r="R91" t="s">
        <v>193</v>
      </c>
      <c r="S91" t="s">
        <v>44</v>
      </c>
      <c r="T91" t="s">
        <v>31</v>
      </c>
      <c r="U91" t="s">
        <v>212</v>
      </c>
      <c r="W91" s="1">
        <v>6.2999999999999995E-8</v>
      </c>
      <c r="X91">
        <v>1.53</v>
      </c>
      <c r="Y91" s="1"/>
      <c r="Z91">
        <v>0.97</v>
      </c>
      <c r="AA91" t="s">
        <v>21</v>
      </c>
      <c r="AB91" t="s">
        <v>285</v>
      </c>
    </row>
    <row r="92" spans="1:28" x14ac:dyDescent="0.35">
      <c r="A92" t="s">
        <v>172</v>
      </c>
      <c r="B92" t="s">
        <v>9</v>
      </c>
      <c r="C92" t="s">
        <v>10</v>
      </c>
      <c r="D92" t="s">
        <v>11</v>
      </c>
      <c r="E92" t="s">
        <v>12</v>
      </c>
      <c r="F92" t="s">
        <v>13</v>
      </c>
      <c r="G92" t="s">
        <v>13</v>
      </c>
      <c r="H92" t="s">
        <v>13</v>
      </c>
      <c r="I92" t="s">
        <v>242</v>
      </c>
      <c r="J92">
        <f t="shared" si="20"/>
        <v>15.5</v>
      </c>
      <c r="K92" t="s">
        <v>281</v>
      </c>
      <c r="L92" t="s">
        <v>281</v>
      </c>
      <c r="M92" t="s">
        <v>281</v>
      </c>
      <c r="R92" t="s">
        <v>193</v>
      </c>
      <c r="S92" t="s">
        <v>25</v>
      </c>
      <c r="T92" t="s">
        <v>31</v>
      </c>
      <c r="U92" t="s">
        <v>212</v>
      </c>
      <c r="W92" s="1">
        <v>2.4999999999999999E-7</v>
      </c>
      <c r="X92">
        <v>5.19</v>
      </c>
      <c r="Y92" s="1"/>
      <c r="Z92">
        <v>0.51</v>
      </c>
      <c r="AA92" t="s">
        <v>83</v>
      </c>
      <c r="AB92" t="s">
        <v>285</v>
      </c>
    </row>
    <row r="93" spans="1:28" x14ac:dyDescent="0.35">
      <c r="A93" t="s">
        <v>172</v>
      </c>
      <c r="B93" t="s">
        <v>9</v>
      </c>
      <c r="C93" t="s">
        <v>10</v>
      </c>
      <c r="D93" t="s">
        <v>11</v>
      </c>
      <c r="E93" t="s">
        <v>12</v>
      </c>
      <c r="F93" t="s">
        <v>13</v>
      </c>
      <c r="G93" t="s">
        <v>13</v>
      </c>
      <c r="H93" t="s">
        <v>13</v>
      </c>
      <c r="I93" t="s">
        <v>242</v>
      </c>
      <c r="J93">
        <f t="shared" si="20"/>
        <v>15.5</v>
      </c>
      <c r="K93" t="s">
        <v>281</v>
      </c>
      <c r="L93" t="s">
        <v>281</v>
      </c>
      <c r="M93" t="s">
        <v>281</v>
      </c>
      <c r="R93" t="s">
        <v>193</v>
      </c>
      <c r="S93" t="s">
        <v>25</v>
      </c>
      <c r="T93" t="s">
        <v>31</v>
      </c>
      <c r="U93" t="s">
        <v>212</v>
      </c>
      <c r="W93" s="1">
        <v>1.1999999999999999E-7</v>
      </c>
      <c r="X93">
        <v>5.19</v>
      </c>
      <c r="Y93" s="1"/>
      <c r="Z93">
        <v>0.51</v>
      </c>
      <c r="AA93" t="s">
        <v>41</v>
      </c>
      <c r="AB93" t="s">
        <v>285</v>
      </c>
    </row>
    <row r="94" spans="1:28" x14ac:dyDescent="0.35">
      <c r="A94" t="s">
        <v>172</v>
      </c>
      <c r="B94" t="s">
        <v>9</v>
      </c>
      <c r="C94" t="s">
        <v>10</v>
      </c>
      <c r="D94" t="s">
        <v>11</v>
      </c>
      <c r="E94" t="s">
        <v>12</v>
      </c>
      <c r="F94" t="s">
        <v>13</v>
      </c>
      <c r="G94" t="s">
        <v>13</v>
      </c>
      <c r="H94" t="s">
        <v>13</v>
      </c>
      <c r="I94" t="s">
        <v>242</v>
      </c>
      <c r="J94">
        <f t="shared" si="20"/>
        <v>15.5</v>
      </c>
      <c r="K94" t="s">
        <v>281</v>
      </c>
      <c r="L94" t="s">
        <v>281</v>
      </c>
      <c r="M94" t="s">
        <v>281</v>
      </c>
      <c r="R94" t="s">
        <v>193</v>
      </c>
      <c r="S94" t="s">
        <v>44</v>
      </c>
      <c r="T94" t="s">
        <v>31</v>
      </c>
      <c r="U94" t="s">
        <v>212</v>
      </c>
      <c r="W94" s="1">
        <v>5.1E-8</v>
      </c>
      <c r="X94">
        <v>1.53</v>
      </c>
      <c r="Y94" s="1"/>
      <c r="Z94">
        <v>0.97</v>
      </c>
      <c r="AA94" t="s">
        <v>41</v>
      </c>
      <c r="AB94" t="s">
        <v>285</v>
      </c>
    </row>
    <row r="95" spans="1:28" x14ac:dyDescent="0.35">
      <c r="A95" t="s">
        <v>172</v>
      </c>
      <c r="B95" t="s">
        <v>9</v>
      </c>
      <c r="C95" t="s">
        <v>10</v>
      </c>
      <c r="D95" t="s">
        <v>11</v>
      </c>
      <c r="E95" t="s">
        <v>12</v>
      </c>
      <c r="F95" t="s">
        <v>13</v>
      </c>
      <c r="G95" t="s">
        <v>13</v>
      </c>
      <c r="H95" t="s">
        <v>13</v>
      </c>
      <c r="I95" t="s">
        <v>242</v>
      </c>
      <c r="J95">
        <f t="shared" si="20"/>
        <v>15.5</v>
      </c>
      <c r="K95" t="s">
        <v>281</v>
      </c>
      <c r="L95" t="s">
        <v>281</v>
      </c>
      <c r="M95" t="s">
        <v>281</v>
      </c>
      <c r="R95" t="s">
        <v>193</v>
      </c>
      <c r="S95" t="s">
        <v>25</v>
      </c>
      <c r="T95" t="s">
        <v>31</v>
      </c>
      <c r="U95" t="s">
        <v>211</v>
      </c>
      <c r="W95" s="1">
        <v>1.3199999999999999E-7</v>
      </c>
      <c r="X95">
        <v>5.19</v>
      </c>
      <c r="Y95" s="1"/>
      <c r="Z95">
        <v>0.51</v>
      </c>
      <c r="AA95" t="s">
        <v>21</v>
      </c>
      <c r="AB95" t="s">
        <v>284</v>
      </c>
    </row>
    <row r="96" spans="1:28" x14ac:dyDescent="0.35">
      <c r="A96" t="s">
        <v>172</v>
      </c>
      <c r="B96" t="s">
        <v>9</v>
      </c>
      <c r="C96" t="s">
        <v>10</v>
      </c>
      <c r="D96" t="s">
        <v>11</v>
      </c>
      <c r="E96" t="s">
        <v>12</v>
      </c>
      <c r="F96" t="s">
        <v>13</v>
      </c>
      <c r="G96" t="s">
        <v>13</v>
      </c>
      <c r="H96" t="s">
        <v>13</v>
      </c>
      <c r="I96" t="s">
        <v>242</v>
      </c>
      <c r="J96">
        <f t="shared" si="20"/>
        <v>15.5</v>
      </c>
      <c r="K96" t="s">
        <v>281</v>
      </c>
      <c r="L96" t="s">
        <v>281</v>
      </c>
      <c r="M96" t="s">
        <v>281</v>
      </c>
      <c r="R96" t="s">
        <v>193</v>
      </c>
      <c r="S96" t="s">
        <v>44</v>
      </c>
      <c r="T96" t="s">
        <v>31</v>
      </c>
      <c r="U96" t="s">
        <v>211</v>
      </c>
      <c r="W96" s="6">
        <v>1.6E-7</v>
      </c>
      <c r="X96">
        <v>1.53</v>
      </c>
      <c r="Y96" s="1"/>
      <c r="Z96">
        <v>0.97</v>
      </c>
      <c r="AA96" t="s">
        <v>21</v>
      </c>
      <c r="AB96" t="s">
        <v>284</v>
      </c>
    </row>
    <row r="97" spans="1:28" x14ac:dyDescent="0.35">
      <c r="A97" t="s">
        <v>172</v>
      </c>
      <c r="B97" t="s">
        <v>9</v>
      </c>
      <c r="C97" t="s">
        <v>10</v>
      </c>
      <c r="D97" t="s">
        <v>11</v>
      </c>
      <c r="E97" t="s">
        <v>12</v>
      </c>
      <c r="F97" t="s">
        <v>13</v>
      </c>
      <c r="G97" t="s">
        <v>13</v>
      </c>
      <c r="H97" t="s">
        <v>13</v>
      </c>
      <c r="I97" t="s">
        <v>242</v>
      </c>
      <c r="J97">
        <f t="shared" si="20"/>
        <v>15.5</v>
      </c>
      <c r="K97" t="s">
        <v>281</v>
      </c>
      <c r="L97" t="s">
        <v>281</v>
      </c>
      <c r="M97" t="s">
        <v>281</v>
      </c>
      <c r="R97" t="s">
        <v>193</v>
      </c>
      <c r="S97" t="s">
        <v>25</v>
      </c>
      <c r="T97" t="s">
        <v>31</v>
      </c>
      <c r="U97" t="s">
        <v>211</v>
      </c>
      <c r="W97" s="6">
        <v>1.9999999999999999E-7</v>
      </c>
      <c r="X97">
        <v>5.19</v>
      </c>
      <c r="Y97" s="1"/>
      <c r="Z97">
        <v>0.51</v>
      </c>
      <c r="AA97" t="s">
        <v>83</v>
      </c>
      <c r="AB97" t="s">
        <v>284</v>
      </c>
    </row>
    <row r="98" spans="1:28" x14ac:dyDescent="0.35">
      <c r="A98" t="s">
        <v>172</v>
      </c>
      <c r="B98" t="s">
        <v>9</v>
      </c>
      <c r="C98" t="s">
        <v>10</v>
      </c>
      <c r="D98" t="s">
        <v>11</v>
      </c>
      <c r="E98" t="s">
        <v>12</v>
      </c>
      <c r="F98" t="s">
        <v>13</v>
      </c>
      <c r="G98" t="s">
        <v>13</v>
      </c>
      <c r="H98" t="s">
        <v>13</v>
      </c>
      <c r="I98" t="s">
        <v>242</v>
      </c>
      <c r="J98">
        <f t="shared" si="20"/>
        <v>15.5</v>
      </c>
      <c r="K98" t="s">
        <v>281</v>
      </c>
      <c r="L98" t="s">
        <v>281</v>
      </c>
      <c r="M98" t="s">
        <v>281</v>
      </c>
      <c r="R98" t="s">
        <v>193</v>
      </c>
      <c r="S98" t="s">
        <v>25</v>
      </c>
      <c r="T98" t="s">
        <v>31</v>
      </c>
      <c r="U98" t="s">
        <v>212</v>
      </c>
      <c r="W98" s="6">
        <v>5.4000000000000007E-8</v>
      </c>
      <c r="X98">
        <v>5.19</v>
      </c>
      <c r="Y98" s="1"/>
      <c r="Z98">
        <v>0.51</v>
      </c>
      <c r="AA98" t="s">
        <v>21</v>
      </c>
      <c r="AB98" t="s">
        <v>284</v>
      </c>
    </row>
    <row r="99" spans="1:28" x14ac:dyDescent="0.35">
      <c r="A99" t="s">
        <v>172</v>
      </c>
      <c r="B99" t="s">
        <v>9</v>
      </c>
      <c r="C99" t="s">
        <v>10</v>
      </c>
      <c r="D99" t="s">
        <v>11</v>
      </c>
      <c r="E99" t="s">
        <v>12</v>
      </c>
      <c r="F99" t="s">
        <v>13</v>
      </c>
      <c r="G99" t="s">
        <v>13</v>
      </c>
      <c r="H99" t="s">
        <v>13</v>
      </c>
      <c r="I99" t="s">
        <v>242</v>
      </c>
      <c r="J99">
        <f t="shared" si="20"/>
        <v>15.5</v>
      </c>
      <c r="K99" t="s">
        <v>281</v>
      </c>
      <c r="L99" t="s">
        <v>281</v>
      </c>
      <c r="M99" t="s">
        <v>281</v>
      </c>
      <c r="R99" t="s">
        <v>193</v>
      </c>
      <c r="S99" t="s">
        <v>44</v>
      </c>
      <c r="T99" t="s">
        <v>31</v>
      </c>
      <c r="U99" t="s">
        <v>212</v>
      </c>
      <c r="W99" s="6">
        <v>7.3000000000000005E-8</v>
      </c>
      <c r="X99">
        <v>1.53</v>
      </c>
      <c r="Y99" s="1"/>
      <c r="Z99">
        <v>0.97</v>
      </c>
      <c r="AA99" t="s">
        <v>21</v>
      </c>
      <c r="AB99" t="s">
        <v>284</v>
      </c>
    </row>
    <row r="100" spans="1:28" x14ac:dyDescent="0.35">
      <c r="A100" t="s">
        <v>172</v>
      </c>
      <c r="B100" t="s">
        <v>9</v>
      </c>
      <c r="C100" t="s">
        <v>10</v>
      </c>
      <c r="D100" t="s">
        <v>11</v>
      </c>
      <c r="E100" t="s">
        <v>12</v>
      </c>
      <c r="F100" t="s">
        <v>13</v>
      </c>
      <c r="G100" t="s">
        <v>13</v>
      </c>
      <c r="H100" t="s">
        <v>13</v>
      </c>
      <c r="I100" t="s">
        <v>242</v>
      </c>
      <c r="J100">
        <f t="shared" si="20"/>
        <v>15.5</v>
      </c>
      <c r="K100" t="s">
        <v>281</v>
      </c>
      <c r="L100" t="s">
        <v>281</v>
      </c>
      <c r="M100" t="s">
        <v>281</v>
      </c>
      <c r="R100" t="s">
        <v>193</v>
      </c>
      <c r="S100" t="s">
        <v>25</v>
      </c>
      <c r="T100" t="s">
        <v>31</v>
      </c>
      <c r="U100" t="s">
        <v>212</v>
      </c>
      <c r="W100" s="6">
        <v>2.53E-7</v>
      </c>
      <c r="X100">
        <v>5.19</v>
      </c>
      <c r="Y100" s="1"/>
      <c r="Z100">
        <v>0.51</v>
      </c>
      <c r="AA100" t="s">
        <v>83</v>
      </c>
      <c r="AB100" t="s">
        <v>284</v>
      </c>
    </row>
    <row r="101" spans="1:28" x14ac:dyDescent="0.35">
      <c r="A101" t="s">
        <v>172</v>
      </c>
      <c r="B101" t="s">
        <v>9</v>
      </c>
      <c r="C101" t="s">
        <v>10</v>
      </c>
      <c r="D101" t="s">
        <v>11</v>
      </c>
      <c r="E101" t="s">
        <v>12</v>
      </c>
      <c r="F101" t="s">
        <v>13</v>
      </c>
      <c r="G101" t="s">
        <v>13</v>
      </c>
      <c r="H101" t="s">
        <v>13</v>
      </c>
      <c r="I101" t="s">
        <v>242</v>
      </c>
      <c r="J101">
        <f t="shared" si="20"/>
        <v>15.5</v>
      </c>
      <c r="K101" t="s">
        <v>281</v>
      </c>
      <c r="L101" t="s">
        <v>281</v>
      </c>
      <c r="M101" t="s">
        <v>281</v>
      </c>
      <c r="R101" t="s">
        <v>193</v>
      </c>
      <c r="S101" t="s">
        <v>25</v>
      </c>
      <c r="T101" t="s">
        <v>31</v>
      </c>
      <c r="U101" t="s">
        <v>212</v>
      </c>
      <c r="W101" s="6">
        <v>1.1800000000000001E-7</v>
      </c>
      <c r="X101">
        <v>5.19</v>
      </c>
      <c r="Y101" s="1"/>
      <c r="Z101">
        <v>0.51</v>
      </c>
      <c r="AA101" t="s">
        <v>41</v>
      </c>
      <c r="AB101" t="s">
        <v>284</v>
      </c>
    </row>
    <row r="102" spans="1:28" x14ac:dyDescent="0.35">
      <c r="A102" t="s">
        <v>172</v>
      </c>
      <c r="B102" t="s">
        <v>9</v>
      </c>
      <c r="C102" t="s">
        <v>10</v>
      </c>
      <c r="D102" t="s">
        <v>11</v>
      </c>
      <c r="E102" t="s">
        <v>12</v>
      </c>
      <c r="F102" t="s">
        <v>13</v>
      </c>
      <c r="G102" t="s">
        <v>13</v>
      </c>
      <c r="H102" t="s">
        <v>13</v>
      </c>
      <c r="I102" t="s">
        <v>242</v>
      </c>
      <c r="J102">
        <f t="shared" si="20"/>
        <v>15.5</v>
      </c>
      <c r="K102" t="s">
        <v>281</v>
      </c>
      <c r="L102" t="s">
        <v>281</v>
      </c>
      <c r="M102" t="s">
        <v>281</v>
      </c>
      <c r="R102" t="s">
        <v>193</v>
      </c>
      <c r="S102" t="s">
        <v>44</v>
      </c>
      <c r="T102" t="s">
        <v>31</v>
      </c>
      <c r="U102" t="s">
        <v>212</v>
      </c>
      <c r="W102" s="6">
        <v>5.4000000000000007E-8</v>
      </c>
      <c r="X102">
        <v>1.53</v>
      </c>
      <c r="Y102" s="1"/>
      <c r="Z102">
        <v>0.97</v>
      </c>
      <c r="AA102" t="s">
        <v>41</v>
      </c>
      <c r="AB102" t="s">
        <v>284</v>
      </c>
    </row>
    <row r="103" spans="1:28" x14ac:dyDescent="0.35">
      <c r="A103" t="s">
        <v>55</v>
      </c>
      <c r="B103" t="s">
        <v>56</v>
      </c>
      <c r="C103" t="s">
        <v>57</v>
      </c>
      <c r="D103" t="s">
        <v>58</v>
      </c>
      <c r="E103" t="s">
        <v>12</v>
      </c>
      <c r="F103" t="s">
        <v>59</v>
      </c>
      <c r="G103" t="s">
        <v>214</v>
      </c>
      <c r="H103" t="s">
        <v>282</v>
      </c>
      <c r="I103" t="s">
        <v>241</v>
      </c>
      <c r="K103" t="s">
        <v>226</v>
      </c>
      <c r="L103" t="s">
        <v>16</v>
      </c>
      <c r="M103" t="str">
        <f t="shared" ref="M103:M112" si="21">+IF(L103="Control","Control","Stress")</f>
        <v>Control</v>
      </c>
      <c r="N103" t="s">
        <v>227</v>
      </c>
      <c r="O103" t="s">
        <v>243</v>
      </c>
      <c r="R103" t="s">
        <v>193</v>
      </c>
      <c r="S103" t="s">
        <v>23</v>
      </c>
      <c r="T103" t="s">
        <v>26</v>
      </c>
      <c r="U103" t="s">
        <v>211</v>
      </c>
      <c r="W103" s="6">
        <f>'[17]Almeida-Rodriguez_etal_2011_Fig'!B2</f>
        <v>2.0531249999999899E-5</v>
      </c>
      <c r="Z103"/>
      <c r="AA103" t="s">
        <v>51</v>
      </c>
      <c r="AB103" t="s">
        <v>285</v>
      </c>
    </row>
    <row r="104" spans="1:28" x14ac:dyDescent="0.35">
      <c r="A104" t="s">
        <v>55</v>
      </c>
      <c r="B104" t="s">
        <v>56</v>
      </c>
      <c r="C104" t="s">
        <v>57</v>
      </c>
      <c r="D104" t="s">
        <v>58</v>
      </c>
      <c r="E104" t="s">
        <v>12</v>
      </c>
      <c r="F104" t="s">
        <v>59</v>
      </c>
      <c r="G104" t="s">
        <v>214</v>
      </c>
      <c r="H104" t="s">
        <v>282</v>
      </c>
      <c r="I104" t="s">
        <v>241</v>
      </c>
      <c r="K104" t="s">
        <v>226</v>
      </c>
      <c r="L104" t="s">
        <v>238</v>
      </c>
      <c r="M104" t="str">
        <f t="shared" si="21"/>
        <v>Stress</v>
      </c>
      <c r="N104" t="s">
        <v>227</v>
      </c>
      <c r="O104" t="s">
        <v>243</v>
      </c>
      <c r="R104" t="s">
        <v>193</v>
      </c>
      <c r="S104" t="s">
        <v>23</v>
      </c>
      <c r="T104" t="s">
        <v>26</v>
      </c>
      <c r="U104" t="s">
        <v>211</v>
      </c>
      <c r="W104" s="6">
        <f>'[17]Almeida-Rodriguez_etal_2011_Fig'!B3</f>
        <v>1.05937499999999E-5</v>
      </c>
      <c r="Z104"/>
      <c r="AA104" t="s">
        <v>51</v>
      </c>
      <c r="AB104" t="s">
        <v>285</v>
      </c>
    </row>
    <row r="105" spans="1:28" x14ac:dyDescent="0.35">
      <c r="A105" t="s">
        <v>55</v>
      </c>
      <c r="B105" t="s">
        <v>56</v>
      </c>
      <c r="C105" t="s">
        <v>57</v>
      </c>
      <c r="D105" t="s">
        <v>58</v>
      </c>
      <c r="E105" t="s">
        <v>12</v>
      </c>
      <c r="F105" t="s">
        <v>59</v>
      </c>
      <c r="G105" t="s">
        <v>214</v>
      </c>
      <c r="H105" t="s">
        <v>282</v>
      </c>
      <c r="I105" t="s">
        <v>241</v>
      </c>
      <c r="K105" t="s">
        <v>226</v>
      </c>
      <c r="L105" t="s">
        <v>16</v>
      </c>
      <c r="M105" t="str">
        <f t="shared" si="21"/>
        <v>Control</v>
      </c>
      <c r="N105" t="s">
        <v>228</v>
      </c>
      <c r="O105" t="s">
        <v>243</v>
      </c>
      <c r="R105" t="s">
        <v>193</v>
      </c>
      <c r="S105" t="s">
        <v>23</v>
      </c>
      <c r="T105" t="s">
        <v>26</v>
      </c>
      <c r="U105" t="s">
        <v>211</v>
      </c>
      <c r="W105" s="6">
        <f>'[17]Almeida-Rodriguez_etal_2011_Fig'!B5</f>
        <v>1.8562500000000001E-5</v>
      </c>
      <c r="Z105"/>
      <c r="AA105" t="s">
        <v>51</v>
      </c>
      <c r="AB105" t="s">
        <v>285</v>
      </c>
    </row>
    <row r="106" spans="1:28" x14ac:dyDescent="0.35">
      <c r="A106" t="s">
        <v>55</v>
      </c>
      <c r="B106" t="s">
        <v>56</v>
      </c>
      <c r="C106" t="s">
        <v>57</v>
      </c>
      <c r="D106" t="s">
        <v>58</v>
      </c>
      <c r="E106" t="s">
        <v>12</v>
      </c>
      <c r="F106" t="s">
        <v>59</v>
      </c>
      <c r="G106" t="s">
        <v>214</v>
      </c>
      <c r="H106" t="s">
        <v>282</v>
      </c>
      <c r="I106" t="s">
        <v>241</v>
      </c>
      <c r="K106" t="s">
        <v>226</v>
      </c>
      <c r="L106" t="s">
        <v>238</v>
      </c>
      <c r="M106" t="str">
        <f t="shared" si="21"/>
        <v>Stress</v>
      </c>
      <c r="N106" t="s">
        <v>228</v>
      </c>
      <c r="O106" t="s">
        <v>243</v>
      </c>
      <c r="R106" t="s">
        <v>193</v>
      </c>
      <c r="S106" t="s">
        <v>23</v>
      </c>
      <c r="T106" t="s">
        <v>26</v>
      </c>
      <c r="U106" t="s">
        <v>211</v>
      </c>
      <c r="W106" s="6">
        <f>'[17]Almeida-Rodriguez_etal_2011_Fig'!B6</f>
        <v>8.1562499999999696E-6</v>
      </c>
      <c r="Z106"/>
      <c r="AA106" t="s">
        <v>51</v>
      </c>
      <c r="AB106" t="s">
        <v>285</v>
      </c>
    </row>
    <row r="107" spans="1:28" x14ac:dyDescent="0.35">
      <c r="A107" t="s">
        <v>55</v>
      </c>
      <c r="B107" t="s">
        <v>56</v>
      </c>
      <c r="C107" t="s">
        <v>57</v>
      </c>
      <c r="D107" t="s">
        <v>58</v>
      </c>
      <c r="E107" t="s">
        <v>12</v>
      </c>
      <c r="F107" t="s">
        <v>59</v>
      </c>
      <c r="G107" t="s">
        <v>214</v>
      </c>
      <c r="H107" t="s">
        <v>282</v>
      </c>
      <c r="I107" t="s">
        <v>241</v>
      </c>
      <c r="K107" t="s">
        <v>226</v>
      </c>
      <c r="L107" t="s">
        <v>16</v>
      </c>
      <c r="M107" t="str">
        <f t="shared" si="21"/>
        <v>Control</v>
      </c>
      <c r="N107" t="s">
        <v>229</v>
      </c>
      <c r="O107" t="s">
        <v>243</v>
      </c>
      <c r="R107" t="s">
        <v>193</v>
      </c>
      <c r="S107" t="s">
        <v>23</v>
      </c>
      <c r="T107" t="s">
        <v>26</v>
      </c>
      <c r="U107" t="s">
        <v>211</v>
      </c>
      <c r="W107" s="6">
        <f>'[17]Almeida-Rodriguez_etal_2011_Fig'!B8</f>
        <v>2.1749999999999898E-5</v>
      </c>
      <c r="Z107"/>
      <c r="AA107" t="s">
        <v>51</v>
      </c>
      <c r="AB107" t="s">
        <v>285</v>
      </c>
    </row>
    <row r="108" spans="1:28" x14ac:dyDescent="0.35">
      <c r="A108" t="s">
        <v>55</v>
      </c>
      <c r="B108" t="s">
        <v>56</v>
      </c>
      <c r="C108" t="s">
        <v>57</v>
      </c>
      <c r="D108" t="s">
        <v>58</v>
      </c>
      <c r="E108" t="s">
        <v>12</v>
      </c>
      <c r="F108" t="s">
        <v>59</v>
      </c>
      <c r="G108" t="s">
        <v>214</v>
      </c>
      <c r="H108" t="s">
        <v>282</v>
      </c>
      <c r="I108" t="s">
        <v>241</v>
      </c>
      <c r="K108" t="s">
        <v>226</v>
      </c>
      <c r="L108" t="s">
        <v>238</v>
      </c>
      <c r="M108" t="str">
        <f t="shared" si="21"/>
        <v>Stress</v>
      </c>
      <c r="N108" t="s">
        <v>229</v>
      </c>
      <c r="O108" t="s">
        <v>243</v>
      </c>
      <c r="R108" t="s">
        <v>193</v>
      </c>
      <c r="S108" t="s">
        <v>23</v>
      </c>
      <c r="T108" t="s">
        <v>26</v>
      </c>
      <c r="U108" t="s">
        <v>211</v>
      </c>
      <c r="W108" s="6">
        <f>'[17]Almeida-Rodriguez_etal_2011_Fig'!B9</f>
        <v>1.1249999999999901E-5</v>
      </c>
      <c r="Z108"/>
      <c r="AA108" t="s">
        <v>51</v>
      </c>
      <c r="AB108" t="s">
        <v>285</v>
      </c>
    </row>
    <row r="109" spans="1:28" x14ac:dyDescent="0.35">
      <c r="A109" t="s">
        <v>55</v>
      </c>
      <c r="B109" t="s">
        <v>56</v>
      </c>
      <c r="C109" t="s">
        <v>57</v>
      </c>
      <c r="D109" t="s">
        <v>58</v>
      </c>
      <c r="E109" t="s">
        <v>12</v>
      </c>
      <c r="F109" t="s">
        <v>59</v>
      </c>
      <c r="G109" t="s">
        <v>214</v>
      </c>
      <c r="H109" t="s">
        <v>282</v>
      </c>
      <c r="I109" t="s">
        <v>241</v>
      </c>
      <c r="K109" t="s">
        <v>226</v>
      </c>
      <c r="L109" t="s">
        <v>16</v>
      </c>
      <c r="M109" t="str">
        <f t="shared" si="21"/>
        <v>Control</v>
      </c>
      <c r="N109" t="s">
        <v>71</v>
      </c>
      <c r="O109" t="s">
        <v>243</v>
      </c>
      <c r="R109" t="s">
        <v>193</v>
      </c>
      <c r="S109" t="s">
        <v>23</v>
      </c>
      <c r="T109" t="s">
        <v>26</v>
      </c>
      <c r="U109" t="s">
        <v>211</v>
      </c>
      <c r="W109" s="6">
        <f>'[18]Almeida-Rodriguez_etal_2011_Fig'!B2</f>
        <v>2.7619047619047599E-6</v>
      </c>
      <c r="Z109"/>
      <c r="AA109" t="s">
        <v>51</v>
      </c>
      <c r="AB109" t="s">
        <v>285</v>
      </c>
    </row>
    <row r="110" spans="1:28" x14ac:dyDescent="0.35">
      <c r="A110" t="s">
        <v>55</v>
      </c>
      <c r="B110" t="s">
        <v>56</v>
      </c>
      <c r="C110" t="s">
        <v>57</v>
      </c>
      <c r="D110" t="s">
        <v>58</v>
      </c>
      <c r="E110" t="s">
        <v>12</v>
      </c>
      <c r="F110" t="s">
        <v>59</v>
      </c>
      <c r="G110" t="s">
        <v>214</v>
      </c>
      <c r="H110" t="s">
        <v>282</v>
      </c>
      <c r="I110" t="s">
        <v>241</v>
      </c>
      <c r="K110" t="s">
        <v>226</v>
      </c>
      <c r="L110" t="s">
        <v>238</v>
      </c>
      <c r="M110" t="str">
        <f t="shared" si="21"/>
        <v>Stress</v>
      </c>
      <c r="N110" t="s">
        <v>71</v>
      </c>
      <c r="O110" t="s">
        <v>243</v>
      </c>
      <c r="R110" t="s">
        <v>193</v>
      </c>
      <c r="S110" t="s">
        <v>23</v>
      </c>
      <c r="T110" t="s">
        <v>26</v>
      </c>
      <c r="U110" t="s">
        <v>211</v>
      </c>
      <c r="W110" s="6">
        <f>'[18]Almeida-Rodriguez_etal_2011_Fig'!B3</f>
        <v>9.7619047619047594E-7</v>
      </c>
      <c r="Z110"/>
      <c r="AA110" t="s">
        <v>51</v>
      </c>
      <c r="AB110" t="s">
        <v>285</v>
      </c>
    </row>
    <row r="111" spans="1:28" x14ac:dyDescent="0.35">
      <c r="A111" t="s">
        <v>55</v>
      </c>
      <c r="B111" t="s">
        <v>56</v>
      </c>
      <c r="C111" t="s">
        <v>57</v>
      </c>
      <c r="D111" t="s">
        <v>58</v>
      </c>
      <c r="E111" t="s">
        <v>12</v>
      </c>
      <c r="F111" t="s">
        <v>59</v>
      </c>
      <c r="G111" t="s">
        <v>214</v>
      </c>
      <c r="H111" t="s">
        <v>282</v>
      </c>
      <c r="I111" t="s">
        <v>241</v>
      </c>
      <c r="K111" t="s">
        <v>226</v>
      </c>
      <c r="L111" t="s">
        <v>16</v>
      </c>
      <c r="M111" t="str">
        <f t="shared" si="21"/>
        <v>Control</v>
      </c>
      <c r="N111" t="s">
        <v>230</v>
      </c>
      <c r="O111" t="s">
        <v>243</v>
      </c>
      <c r="R111" t="s">
        <v>193</v>
      </c>
      <c r="S111" t="s">
        <v>23</v>
      </c>
      <c r="T111" t="s">
        <v>26</v>
      </c>
      <c r="U111" t="s">
        <v>211</v>
      </c>
      <c r="W111" s="6">
        <f>'[18]Almeida-Rodriguez_etal_2011_Fig'!B4</f>
        <v>9.0238095238095194E-6</v>
      </c>
      <c r="Z111"/>
      <c r="AA111" t="s">
        <v>51</v>
      </c>
      <c r="AB111" t="s">
        <v>285</v>
      </c>
    </row>
    <row r="112" spans="1:28" x14ac:dyDescent="0.35">
      <c r="A112" t="s">
        <v>55</v>
      </c>
      <c r="B112" t="s">
        <v>56</v>
      </c>
      <c r="C112" t="s">
        <v>57</v>
      </c>
      <c r="D112" t="s">
        <v>58</v>
      </c>
      <c r="E112" t="s">
        <v>12</v>
      </c>
      <c r="F112" t="s">
        <v>59</v>
      </c>
      <c r="G112" t="s">
        <v>214</v>
      </c>
      <c r="H112" t="s">
        <v>282</v>
      </c>
      <c r="I112" t="s">
        <v>241</v>
      </c>
      <c r="K112" t="s">
        <v>226</v>
      </c>
      <c r="L112" t="s">
        <v>238</v>
      </c>
      <c r="M112" t="str">
        <f t="shared" si="21"/>
        <v>Stress</v>
      </c>
      <c r="N112" t="s">
        <v>230</v>
      </c>
      <c r="O112" t="s">
        <v>243</v>
      </c>
      <c r="R112" t="s">
        <v>193</v>
      </c>
      <c r="S112" t="s">
        <v>23</v>
      </c>
      <c r="T112" t="s">
        <v>26</v>
      </c>
      <c r="U112" t="s">
        <v>211</v>
      </c>
      <c r="W112" s="6">
        <f>'[18]Almeida-Rodriguez_etal_2011_Fig'!B5</f>
        <v>2.5952380952380899E-6</v>
      </c>
      <c r="Z112"/>
      <c r="AA112" t="s">
        <v>51</v>
      </c>
      <c r="AB112" t="s">
        <v>285</v>
      </c>
    </row>
    <row r="113" spans="1:28" x14ac:dyDescent="0.35">
      <c r="A113" t="s">
        <v>72</v>
      </c>
      <c r="B113" t="s">
        <v>60</v>
      </c>
      <c r="C113" t="s">
        <v>61</v>
      </c>
      <c r="D113" t="s">
        <v>62</v>
      </c>
      <c r="E113" t="s">
        <v>12</v>
      </c>
      <c r="F113" s="4" t="s">
        <v>64</v>
      </c>
      <c r="G113" s="4" t="s">
        <v>63</v>
      </c>
      <c r="H113" s="4" t="s">
        <v>63</v>
      </c>
      <c r="I113" s="4" t="s">
        <v>63</v>
      </c>
      <c r="K113" t="s">
        <v>269</v>
      </c>
      <c r="L113" t="s">
        <v>68</v>
      </c>
      <c r="M113" t="s">
        <v>243</v>
      </c>
      <c r="R113" t="s">
        <v>193</v>
      </c>
      <c r="S113" t="s">
        <v>23</v>
      </c>
      <c r="T113" t="s">
        <v>69</v>
      </c>
      <c r="U113" t="s">
        <v>211</v>
      </c>
      <c r="W113" s="1">
        <f>[19]Pratt_etal_2010_Fig3ae!B2</f>
        <v>1.4178217821782101E-7</v>
      </c>
      <c r="Z113"/>
      <c r="AA113" t="s">
        <v>51</v>
      </c>
      <c r="AB113" t="s">
        <v>285</v>
      </c>
    </row>
    <row r="114" spans="1:28" x14ac:dyDescent="0.35">
      <c r="A114" t="s">
        <v>72</v>
      </c>
      <c r="B114" t="s">
        <v>65</v>
      </c>
      <c r="C114" t="s">
        <v>61</v>
      </c>
      <c r="D114" t="s">
        <v>62</v>
      </c>
      <c r="E114" t="s">
        <v>12</v>
      </c>
      <c r="F114" s="4" t="s">
        <v>64</v>
      </c>
      <c r="G114" s="4" t="s">
        <v>63</v>
      </c>
      <c r="H114" s="4" t="s">
        <v>63</v>
      </c>
      <c r="I114" s="4" t="s">
        <v>63</v>
      </c>
      <c r="K114" t="s">
        <v>269</v>
      </c>
      <c r="L114" t="s">
        <v>68</v>
      </c>
      <c r="M114" t="s">
        <v>243</v>
      </c>
      <c r="R114" t="s">
        <v>193</v>
      </c>
      <c r="S114" t="s">
        <v>23</v>
      </c>
      <c r="T114" t="s">
        <v>69</v>
      </c>
      <c r="U114" t="s">
        <v>211</v>
      </c>
      <c r="W114" s="1">
        <f>[19]Pratt_etal_2010_Fig3ae!B3</f>
        <v>3.8019801980197702E-8</v>
      </c>
      <c r="Z114"/>
      <c r="AA114" t="s">
        <v>51</v>
      </c>
      <c r="AB114" t="s">
        <v>285</v>
      </c>
    </row>
    <row r="115" spans="1:28" x14ac:dyDescent="0.35">
      <c r="A115" t="s">
        <v>72</v>
      </c>
      <c r="B115" t="s">
        <v>66</v>
      </c>
      <c r="C115" t="s">
        <v>67</v>
      </c>
      <c r="D115" t="s">
        <v>62</v>
      </c>
      <c r="E115" t="s">
        <v>12</v>
      </c>
      <c r="F115" s="4" t="s">
        <v>64</v>
      </c>
      <c r="G115" s="4" t="s">
        <v>63</v>
      </c>
      <c r="H115" s="4" t="s">
        <v>63</v>
      </c>
      <c r="I115" s="4" t="s">
        <v>63</v>
      </c>
      <c r="K115" t="s">
        <v>269</v>
      </c>
      <c r="L115" t="s">
        <v>68</v>
      </c>
      <c r="M115" t="s">
        <v>243</v>
      </c>
      <c r="R115" t="s">
        <v>193</v>
      </c>
      <c r="S115" t="s">
        <v>23</v>
      </c>
      <c r="T115" t="s">
        <v>69</v>
      </c>
      <c r="U115" t="s">
        <v>211</v>
      </c>
      <c r="W115" s="1">
        <f>[19]Pratt_etal_2010_Fig3ae!B4</f>
        <v>5.7029702970297099E-8</v>
      </c>
      <c r="Z115"/>
      <c r="AA115" t="s">
        <v>51</v>
      </c>
      <c r="AB115" t="s">
        <v>285</v>
      </c>
    </row>
    <row r="116" spans="1:28" x14ac:dyDescent="0.35">
      <c r="A116" t="s">
        <v>72</v>
      </c>
      <c r="B116" t="s">
        <v>60</v>
      </c>
      <c r="C116" t="s">
        <v>61</v>
      </c>
      <c r="D116" t="s">
        <v>62</v>
      </c>
      <c r="E116" t="s">
        <v>12</v>
      </c>
      <c r="F116" s="4" t="s">
        <v>64</v>
      </c>
      <c r="G116" s="4" t="s">
        <v>63</v>
      </c>
      <c r="H116" s="4" t="s">
        <v>63</v>
      </c>
      <c r="I116" s="4" t="s">
        <v>63</v>
      </c>
      <c r="K116" t="s">
        <v>269</v>
      </c>
      <c r="L116" t="s">
        <v>68</v>
      </c>
      <c r="M116" t="s">
        <v>243</v>
      </c>
      <c r="R116" t="s">
        <v>193</v>
      </c>
      <c r="S116" t="s">
        <v>23</v>
      </c>
      <c r="T116" t="s">
        <v>70</v>
      </c>
      <c r="U116" t="s">
        <v>211</v>
      </c>
      <c r="W116" s="1">
        <f>[19]Pratt_etal_2010_Fig3ae!B5</f>
        <v>2.3920792079207899E-7</v>
      </c>
      <c r="Z116"/>
      <c r="AA116" t="s">
        <v>51</v>
      </c>
      <c r="AB116" t="s">
        <v>285</v>
      </c>
    </row>
    <row r="117" spans="1:28" x14ac:dyDescent="0.35">
      <c r="A117" t="s">
        <v>72</v>
      </c>
      <c r="B117" t="s">
        <v>65</v>
      </c>
      <c r="C117" t="s">
        <v>61</v>
      </c>
      <c r="D117" t="s">
        <v>62</v>
      </c>
      <c r="E117" t="s">
        <v>12</v>
      </c>
      <c r="F117" s="4" t="s">
        <v>64</v>
      </c>
      <c r="G117" s="4" t="s">
        <v>63</v>
      </c>
      <c r="H117" s="4" t="s">
        <v>63</v>
      </c>
      <c r="I117" s="4" t="s">
        <v>63</v>
      </c>
      <c r="K117" t="s">
        <v>269</v>
      </c>
      <c r="L117" t="s">
        <v>68</v>
      </c>
      <c r="M117" t="s">
        <v>243</v>
      </c>
      <c r="R117" t="s">
        <v>193</v>
      </c>
      <c r="S117" t="s">
        <v>23</v>
      </c>
      <c r="T117" t="s">
        <v>70</v>
      </c>
      <c r="U117" t="s">
        <v>211</v>
      </c>
      <c r="W117" s="1">
        <f>[19]Pratt_etal_2010_Fig3ae!B6</f>
        <v>1.27524752475247E-7</v>
      </c>
      <c r="Z117"/>
      <c r="AA117" t="s">
        <v>51</v>
      </c>
      <c r="AB117" t="s">
        <v>285</v>
      </c>
    </row>
    <row r="118" spans="1:28" x14ac:dyDescent="0.35">
      <c r="A118" t="s">
        <v>72</v>
      </c>
      <c r="B118" t="s">
        <v>66</v>
      </c>
      <c r="C118" t="s">
        <v>67</v>
      </c>
      <c r="D118" t="s">
        <v>62</v>
      </c>
      <c r="E118" t="s">
        <v>12</v>
      </c>
      <c r="F118" s="4" t="s">
        <v>64</v>
      </c>
      <c r="G118" s="4" t="s">
        <v>63</v>
      </c>
      <c r="H118" s="4" t="s">
        <v>63</v>
      </c>
      <c r="I118" s="4" t="s">
        <v>63</v>
      </c>
      <c r="K118" t="s">
        <v>269</v>
      </c>
      <c r="L118" t="s">
        <v>68</v>
      </c>
      <c r="M118" t="s">
        <v>243</v>
      </c>
      <c r="R118" t="s">
        <v>193</v>
      </c>
      <c r="S118" t="s">
        <v>23</v>
      </c>
      <c r="T118" t="s">
        <v>70</v>
      </c>
      <c r="U118" t="s">
        <v>211</v>
      </c>
      <c r="W118" s="1">
        <f>[19]Pratt_etal_2010_Fig3ae!B7</f>
        <v>8.7920792079207702E-8</v>
      </c>
      <c r="Z118"/>
      <c r="AA118" t="s">
        <v>51</v>
      </c>
      <c r="AB118" t="s">
        <v>285</v>
      </c>
    </row>
    <row r="119" spans="1:28" x14ac:dyDescent="0.35">
      <c r="A119" t="s">
        <v>72</v>
      </c>
      <c r="B119" t="s">
        <v>60</v>
      </c>
      <c r="C119" t="s">
        <v>61</v>
      </c>
      <c r="D119" t="s">
        <v>62</v>
      </c>
      <c r="E119" t="s">
        <v>12</v>
      </c>
      <c r="F119" s="4" t="s">
        <v>64</v>
      </c>
      <c r="G119" s="4" t="s">
        <v>63</v>
      </c>
      <c r="H119" s="4" t="s">
        <v>63</v>
      </c>
      <c r="I119" s="4" t="s">
        <v>63</v>
      </c>
      <c r="K119" t="s">
        <v>269</v>
      </c>
      <c r="L119" t="s">
        <v>71</v>
      </c>
      <c r="M119" t="s">
        <v>243</v>
      </c>
      <c r="R119" t="s">
        <v>193</v>
      </c>
      <c r="S119" t="s">
        <v>23</v>
      </c>
      <c r="T119" t="s">
        <v>69</v>
      </c>
      <c r="U119" t="s">
        <v>211</v>
      </c>
      <c r="W119" s="1">
        <f>[20]Pratt_etal_2010_Fig3bf!B2</f>
        <v>1.7425742574257499E-7</v>
      </c>
      <c r="Z119"/>
      <c r="AA119" t="s">
        <v>51</v>
      </c>
      <c r="AB119" t="s">
        <v>285</v>
      </c>
    </row>
    <row r="120" spans="1:28" x14ac:dyDescent="0.35">
      <c r="A120" t="s">
        <v>72</v>
      </c>
      <c r="B120" t="s">
        <v>65</v>
      </c>
      <c r="C120" t="s">
        <v>61</v>
      </c>
      <c r="D120" t="s">
        <v>62</v>
      </c>
      <c r="E120" t="s">
        <v>12</v>
      </c>
      <c r="F120" s="4" t="s">
        <v>64</v>
      </c>
      <c r="G120" s="4" t="s">
        <v>63</v>
      </c>
      <c r="H120" s="4" t="s">
        <v>63</v>
      </c>
      <c r="I120" s="4" t="s">
        <v>63</v>
      </c>
      <c r="K120" t="s">
        <v>269</v>
      </c>
      <c r="L120" t="s">
        <v>71</v>
      </c>
      <c r="M120" t="s">
        <v>243</v>
      </c>
      <c r="R120" t="s">
        <v>193</v>
      </c>
      <c r="S120" t="s">
        <v>23</v>
      </c>
      <c r="T120" t="s">
        <v>69</v>
      </c>
      <c r="U120" t="s">
        <v>211</v>
      </c>
      <c r="W120" s="1">
        <f>[20]Pratt_etal_2010_Fig3bf!B3</f>
        <v>1.5920792079208E-7</v>
      </c>
      <c r="Z120"/>
      <c r="AA120" t="s">
        <v>51</v>
      </c>
      <c r="AB120" t="s">
        <v>285</v>
      </c>
    </row>
    <row r="121" spans="1:28" x14ac:dyDescent="0.35">
      <c r="A121" t="s">
        <v>72</v>
      </c>
      <c r="B121" t="s">
        <v>66</v>
      </c>
      <c r="C121" t="s">
        <v>67</v>
      </c>
      <c r="D121" t="s">
        <v>62</v>
      </c>
      <c r="E121" t="s">
        <v>12</v>
      </c>
      <c r="F121" s="4" t="s">
        <v>64</v>
      </c>
      <c r="G121" s="4" t="s">
        <v>63</v>
      </c>
      <c r="H121" s="4" t="s">
        <v>63</v>
      </c>
      <c r="I121" s="4" t="s">
        <v>63</v>
      </c>
      <c r="K121" t="s">
        <v>269</v>
      </c>
      <c r="L121" t="s">
        <v>71</v>
      </c>
      <c r="M121" t="s">
        <v>243</v>
      </c>
      <c r="R121" t="s">
        <v>193</v>
      </c>
      <c r="S121" t="s">
        <v>23</v>
      </c>
      <c r="T121" t="s">
        <v>69</v>
      </c>
      <c r="U121" t="s">
        <v>211</v>
      </c>
      <c r="W121" s="1">
        <f>[20]Pratt_etal_2010_Fig3bf!B4</f>
        <v>1.2118811881188099E-7</v>
      </c>
      <c r="Z121"/>
      <c r="AA121" t="s">
        <v>51</v>
      </c>
      <c r="AB121" t="s">
        <v>285</v>
      </c>
    </row>
    <row r="122" spans="1:28" x14ac:dyDescent="0.35">
      <c r="A122" t="s">
        <v>72</v>
      </c>
      <c r="B122" t="s">
        <v>60</v>
      </c>
      <c r="C122" t="s">
        <v>61</v>
      </c>
      <c r="D122" t="s">
        <v>62</v>
      </c>
      <c r="E122" t="s">
        <v>12</v>
      </c>
      <c r="F122" s="4" t="s">
        <v>64</v>
      </c>
      <c r="G122" s="4" t="s">
        <v>63</v>
      </c>
      <c r="H122" s="4" t="s">
        <v>63</v>
      </c>
      <c r="I122" s="4" t="s">
        <v>63</v>
      </c>
      <c r="K122" t="s">
        <v>269</v>
      </c>
      <c r="L122" t="s">
        <v>71</v>
      </c>
      <c r="M122" t="s">
        <v>243</v>
      </c>
      <c r="R122" t="s">
        <v>193</v>
      </c>
      <c r="S122" t="s">
        <v>23</v>
      </c>
      <c r="T122" t="s">
        <v>70</v>
      </c>
      <c r="U122" t="s">
        <v>211</v>
      </c>
      <c r="W122" s="1">
        <f>[20]Pratt_etal_2010_Fig3bf!B5</f>
        <v>3.3821782178217998E-7</v>
      </c>
      <c r="Z122"/>
      <c r="AA122" t="s">
        <v>51</v>
      </c>
      <c r="AB122" t="s">
        <v>285</v>
      </c>
    </row>
    <row r="123" spans="1:28" x14ac:dyDescent="0.35">
      <c r="A123" t="s">
        <v>72</v>
      </c>
      <c r="B123" t="s">
        <v>65</v>
      </c>
      <c r="C123" t="s">
        <v>61</v>
      </c>
      <c r="D123" t="s">
        <v>62</v>
      </c>
      <c r="E123" t="s">
        <v>12</v>
      </c>
      <c r="F123" s="4" t="s">
        <v>64</v>
      </c>
      <c r="G123" s="4" t="s">
        <v>63</v>
      </c>
      <c r="H123" s="4" t="s">
        <v>63</v>
      </c>
      <c r="I123" s="4" t="s">
        <v>63</v>
      </c>
      <c r="K123" t="s">
        <v>269</v>
      </c>
      <c r="L123" t="s">
        <v>71</v>
      </c>
      <c r="M123" t="s">
        <v>243</v>
      </c>
      <c r="R123" t="s">
        <v>193</v>
      </c>
      <c r="S123" t="s">
        <v>23</v>
      </c>
      <c r="T123" t="s">
        <v>70</v>
      </c>
      <c r="U123" t="s">
        <v>211</v>
      </c>
      <c r="W123" s="1">
        <f>[20]Pratt_etal_2010_Fig3bf!B6</f>
        <v>2.3049504950495101E-7</v>
      </c>
      <c r="Z123"/>
      <c r="AA123" t="s">
        <v>51</v>
      </c>
      <c r="AB123" t="s">
        <v>285</v>
      </c>
    </row>
    <row r="124" spans="1:28" x14ac:dyDescent="0.35">
      <c r="A124" t="s">
        <v>72</v>
      </c>
      <c r="B124" t="s">
        <v>66</v>
      </c>
      <c r="C124" t="s">
        <v>67</v>
      </c>
      <c r="D124" t="s">
        <v>62</v>
      </c>
      <c r="E124" t="s">
        <v>12</v>
      </c>
      <c r="F124" s="4" t="s">
        <v>64</v>
      </c>
      <c r="G124" s="4" t="s">
        <v>63</v>
      </c>
      <c r="H124" s="4" t="s">
        <v>63</v>
      </c>
      <c r="I124" s="4" t="s">
        <v>63</v>
      </c>
      <c r="K124" t="s">
        <v>269</v>
      </c>
      <c r="L124" t="s">
        <v>71</v>
      </c>
      <c r="M124" t="s">
        <v>243</v>
      </c>
      <c r="R124" t="s">
        <v>193</v>
      </c>
      <c r="S124" t="s">
        <v>23</v>
      </c>
      <c r="T124" t="s">
        <v>70</v>
      </c>
      <c r="U124" t="s">
        <v>211</v>
      </c>
      <c r="W124" s="1">
        <f>[20]Pratt_etal_2010_Fig3bf!B7</f>
        <v>2.28118811881189E-7</v>
      </c>
      <c r="Z124"/>
      <c r="AA124" t="s">
        <v>51</v>
      </c>
      <c r="AB124" t="s">
        <v>285</v>
      </c>
    </row>
    <row r="125" spans="1:28" x14ac:dyDescent="0.35">
      <c r="A125" t="s">
        <v>72</v>
      </c>
      <c r="B125" t="s">
        <v>60</v>
      </c>
      <c r="C125" t="s">
        <v>61</v>
      </c>
      <c r="D125" t="s">
        <v>62</v>
      </c>
      <c r="E125" t="s">
        <v>12</v>
      </c>
      <c r="F125" s="4" t="s">
        <v>64</v>
      </c>
      <c r="G125" s="4" t="s">
        <v>63</v>
      </c>
      <c r="H125" s="4" t="s">
        <v>63</v>
      </c>
      <c r="I125" s="4" t="s">
        <v>63</v>
      </c>
      <c r="K125" t="s">
        <v>269</v>
      </c>
      <c r="L125" t="s">
        <v>68</v>
      </c>
      <c r="M125" t="s">
        <v>243</v>
      </c>
      <c r="R125" t="s">
        <v>193</v>
      </c>
      <c r="S125" t="s">
        <v>23</v>
      </c>
      <c r="T125" t="s">
        <v>69</v>
      </c>
      <c r="U125" t="s">
        <v>211</v>
      </c>
      <c r="W125" s="1">
        <f>[19]Pratt_etal_2010_Fig3ae!B8</f>
        <v>2.6930693069306899E-7</v>
      </c>
      <c r="Z125"/>
      <c r="AA125" t="s">
        <v>51</v>
      </c>
      <c r="AB125" t="s">
        <v>284</v>
      </c>
    </row>
    <row r="126" spans="1:28" x14ac:dyDescent="0.35">
      <c r="A126" t="s">
        <v>72</v>
      </c>
      <c r="B126" t="s">
        <v>65</v>
      </c>
      <c r="C126" t="s">
        <v>61</v>
      </c>
      <c r="D126" t="s">
        <v>62</v>
      </c>
      <c r="E126" t="s">
        <v>12</v>
      </c>
      <c r="F126" s="4" t="s">
        <v>64</v>
      </c>
      <c r="G126" s="4" t="s">
        <v>63</v>
      </c>
      <c r="H126" s="4" t="s">
        <v>63</v>
      </c>
      <c r="I126" s="4" t="s">
        <v>63</v>
      </c>
      <c r="K126" t="s">
        <v>269</v>
      </c>
      <c r="L126" t="s">
        <v>68</v>
      </c>
      <c r="M126" t="s">
        <v>243</v>
      </c>
      <c r="R126" t="s">
        <v>193</v>
      </c>
      <c r="S126" t="s">
        <v>23</v>
      </c>
      <c r="T126" t="s">
        <v>69</v>
      </c>
      <c r="U126" t="s">
        <v>211</v>
      </c>
      <c r="W126" s="1">
        <f>[19]Pratt_etal_2010_Fig3ae!B9</f>
        <v>5.2277227722772097E-8</v>
      </c>
      <c r="Z126"/>
      <c r="AA126" t="s">
        <v>51</v>
      </c>
      <c r="AB126" t="s">
        <v>284</v>
      </c>
    </row>
    <row r="127" spans="1:28" x14ac:dyDescent="0.35">
      <c r="A127" t="s">
        <v>72</v>
      </c>
      <c r="B127" t="s">
        <v>66</v>
      </c>
      <c r="C127" t="s">
        <v>67</v>
      </c>
      <c r="D127" t="s">
        <v>62</v>
      </c>
      <c r="E127" t="s">
        <v>12</v>
      </c>
      <c r="F127" s="4" t="s">
        <v>64</v>
      </c>
      <c r="G127" s="4" t="s">
        <v>63</v>
      </c>
      <c r="H127" s="4" t="s">
        <v>63</v>
      </c>
      <c r="I127" s="4" t="s">
        <v>63</v>
      </c>
      <c r="K127" t="s">
        <v>269</v>
      </c>
      <c r="L127" t="s">
        <v>68</v>
      </c>
      <c r="M127" t="s">
        <v>243</v>
      </c>
      <c r="R127" t="s">
        <v>193</v>
      </c>
      <c r="S127" t="s">
        <v>23</v>
      </c>
      <c r="T127" t="s">
        <v>69</v>
      </c>
      <c r="U127" t="s">
        <v>211</v>
      </c>
      <c r="W127" s="1">
        <f>[19]Pratt_etal_2010_Fig3ae!B10</f>
        <v>1.1009900990099E-7</v>
      </c>
      <c r="Z127"/>
      <c r="AA127" t="s">
        <v>51</v>
      </c>
      <c r="AB127" t="s">
        <v>284</v>
      </c>
    </row>
    <row r="128" spans="1:28" x14ac:dyDescent="0.35">
      <c r="A128" t="s">
        <v>72</v>
      </c>
      <c r="B128" t="s">
        <v>60</v>
      </c>
      <c r="C128" t="s">
        <v>61</v>
      </c>
      <c r="D128" t="s">
        <v>62</v>
      </c>
      <c r="E128" t="s">
        <v>12</v>
      </c>
      <c r="F128" s="4" t="s">
        <v>64</v>
      </c>
      <c r="G128" s="4" t="s">
        <v>63</v>
      </c>
      <c r="H128" s="4" t="s">
        <v>63</v>
      </c>
      <c r="I128" s="4" t="s">
        <v>63</v>
      </c>
      <c r="K128" t="s">
        <v>269</v>
      </c>
      <c r="L128" t="s">
        <v>68</v>
      </c>
      <c r="M128" t="s">
        <v>243</v>
      </c>
      <c r="R128" t="s">
        <v>193</v>
      </c>
      <c r="S128" t="s">
        <v>23</v>
      </c>
      <c r="T128" t="s">
        <v>70</v>
      </c>
      <c r="U128" t="s">
        <v>211</v>
      </c>
      <c r="W128" s="1">
        <f>[19]Pratt_etal_2010_Fig3ae!B11</f>
        <v>2.4237623762376198E-7</v>
      </c>
      <c r="Z128"/>
      <c r="AA128" t="s">
        <v>51</v>
      </c>
      <c r="AB128" t="s">
        <v>284</v>
      </c>
    </row>
    <row r="129" spans="1:28" x14ac:dyDescent="0.35">
      <c r="A129" t="s">
        <v>72</v>
      </c>
      <c r="B129" t="s">
        <v>65</v>
      </c>
      <c r="C129" t="s">
        <v>61</v>
      </c>
      <c r="D129" t="s">
        <v>62</v>
      </c>
      <c r="E129" t="s">
        <v>12</v>
      </c>
      <c r="F129" s="4" t="s">
        <v>64</v>
      </c>
      <c r="G129" s="4" t="s">
        <v>63</v>
      </c>
      <c r="H129" s="4" t="s">
        <v>63</v>
      </c>
      <c r="I129" s="4" t="s">
        <v>63</v>
      </c>
      <c r="K129" t="s">
        <v>269</v>
      </c>
      <c r="L129" t="s">
        <v>68</v>
      </c>
      <c r="M129" t="s">
        <v>243</v>
      </c>
      <c r="R129" t="s">
        <v>193</v>
      </c>
      <c r="S129" t="s">
        <v>23</v>
      </c>
      <c r="T129" t="s">
        <v>70</v>
      </c>
      <c r="U129" t="s">
        <v>211</v>
      </c>
      <c r="W129" s="1">
        <f>[19]Pratt_etal_2010_Fig3ae!B12</f>
        <v>1.5049504950495E-7</v>
      </c>
      <c r="Z129"/>
      <c r="AA129" t="s">
        <v>51</v>
      </c>
      <c r="AB129" t="s">
        <v>284</v>
      </c>
    </row>
    <row r="130" spans="1:28" x14ac:dyDescent="0.35">
      <c r="A130" t="s">
        <v>72</v>
      </c>
      <c r="B130" t="s">
        <v>66</v>
      </c>
      <c r="C130" t="s">
        <v>67</v>
      </c>
      <c r="D130" t="s">
        <v>62</v>
      </c>
      <c r="E130" t="s">
        <v>12</v>
      </c>
      <c r="F130" s="4" t="s">
        <v>64</v>
      </c>
      <c r="G130" s="4" t="s">
        <v>63</v>
      </c>
      <c r="H130" s="4" t="s">
        <v>63</v>
      </c>
      <c r="I130" s="4" t="s">
        <v>63</v>
      </c>
      <c r="K130" t="s">
        <v>269</v>
      </c>
      <c r="L130" t="s">
        <v>68</v>
      </c>
      <c r="M130" t="s">
        <v>243</v>
      </c>
      <c r="R130" t="s">
        <v>193</v>
      </c>
      <c r="S130" t="s">
        <v>23</v>
      </c>
      <c r="T130" t="s">
        <v>70</v>
      </c>
      <c r="U130" t="s">
        <v>211</v>
      </c>
      <c r="W130" s="1">
        <f>[19]Pratt_etal_2010_Fig3ae!B13</f>
        <v>1.02970297029702E-7</v>
      </c>
      <c r="Z130"/>
      <c r="AA130" t="s">
        <v>51</v>
      </c>
      <c r="AB130" t="s">
        <v>284</v>
      </c>
    </row>
    <row r="131" spans="1:28" x14ac:dyDescent="0.35">
      <c r="A131" t="s">
        <v>72</v>
      </c>
      <c r="B131" t="s">
        <v>60</v>
      </c>
      <c r="C131" t="s">
        <v>61</v>
      </c>
      <c r="D131" t="s">
        <v>62</v>
      </c>
      <c r="E131" t="s">
        <v>12</v>
      </c>
      <c r="F131" s="4" t="s">
        <v>64</v>
      </c>
      <c r="G131" s="4" t="s">
        <v>63</v>
      </c>
      <c r="H131" s="4" t="s">
        <v>63</v>
      </c>
      <c r="I131" s="4" t="s">
        <v>63</v>
      </c>
      <c r="K131" t="s">
        <v>269</v>
      </c>
      <c r="L131" t="s">
        <v>71</v>
      </c>
      <c r="M131" t="s">
        <v>243</v>
      </c>
      <c r="R131" t="s">
        <v>193</v>
      </c>
      <c r="S131" t="s">
        <v>23</v>
      </c>
      <c r="T131" t="s">
        <v>69</v>
      </c>
      <c r="U131" t="s">
        <v>211</v>
      </c>
      <c r="W131" s="1">
        <f>[20]Pratt_etal_2010_Fig3bf!B8</f>
        <v>2.6138613861386199E-7</v>
      </c>
      <c r="Z131"/>
      <c r="AA131" t="s">
        <v>51</v>
      </c>
      <c r="AB131" t="s">
        <v>284</v>
      </c>
    </row>
    <row r="132" spans="1:28" x14ac:dyDescent="0.35">
      <c r="A132" t="s">
        <v>72</v>
      </c>
      <c r="B132" t="s">
        <v>65</v>
      </c>
      <c r="C132" t="s">
        <v>61</v>
      </c>
      <c r="D132" t="s">
        <v>62</v>
      </c>
      <c r="E132" t="s">
        <v>12</v>
      </c>
      <c r="F132" s="4" t="s">
        <v>64</v>
      </c>
      <c r="G132" s="4" t="s">
        <v>63</v>
      </c>
      <c r="H132" s="4" t="s">
        <v>63</v>
      </c>
      <c r="I132" s="4" t="s">
        <v>63</v>
      </c>
      <c r="K132" t="s">
        <v>269</v>
      </c>
      <c r="L132" t="s">
        <v>71</v>
      </c>
      <c r="M132" t="s">
        <v>243</v>
      </c>
      <c r="R132" t="s">
        <v>193</v>
      </c>
      <c r="S132" t="s">
        <v>23</v>
      </c>
      <c r="T132" t="s">
        <v>69</v>
      </c>
      <c r="U132" t="s">
        <v>211</v>
      </c>
      <c r="W132" s="1">
        <f>[20]Pratt_etal_2010_Fig3bf!B9</f>
        <v>2.33663366336635E-7</v>
      </c>
      <c r="Z132"/>
      <c r="AA132" t="s">
        <v>51</v>
      </c>
      <c r="AB132" t="s">
        <v>284</v>
      </c>
    </row>
    <row r="133" spans="1:28" x14ac:dyDescent="0.35">
      <c r="A133" t="s">
        <v>72</v>
      </c>
      <c r="B133" t="s">
        <v>66</v>
      </c>
      <c r="C133" t="s">
        <v>67</v>
      </c>
      <c r="D133" t="s">
        <v>62</v>
      </c>
      <c r="E133" t="s">
        <v>12</v>
      </c>
      <c r="F133" s="4" t="s">
        <v>64</v>
      </c>
      <c r="G133" s="4" t="s">
        <v>63</v>
      </c>
      <c r="H133" s="4" t="s">
        <v>63</v>
      </c>
      <c r="I133" s="4" t="s">
        <v>63</v>
      </c>
      <c r="K133" t="s">
        <v>269</v>
      </c>
      <c r="L133" t="s">
        <v>71</v>
      </c>
      <c r="M133" t="s">
        <v>243</v>
      </c>
      <c r="R133" t="s">
        <v>193</v>
      </c>
      <c r="S133" t="s">
        <v>23</v>
      </c>
      <c r="T133" t="s">
        <v>69</v>
      </c>
      <c r="U133" t="s">
        <v>211</v>
      </c>
      <c r="W133" s="1">
        <f>[20]Pratt_etal_2010_Fig3bf!B10</f>
        <v>1.21188118811882E-7</v>
      </c>
      <c r="Z133"/>
      <c r="AA133" t="s">
        <v>51</v>
      </c>
      <c r="AB133" t="s">
        <v>284</v>
      </c>
    </row>
    <row r="134" spans="1:28" x14ac:dyDescent="0.35">
      <c r="A134" t="s">
        <v>72</v>
      </c>
      <c r="B134" t="s">
        <v>60</v>
      </c>
      <c r="C134" t="s">
        <v>61</v>
      </c>
      <c r="D134" t="s">
        <v>62</v>
      </c>
      <c r="E134" t="s">
        <v>12</v>
      </c>
      <c r="F134" s="4" t="s">
        <v>64</v>
      </c>
      <c r="G134" s="4" t="s">
        <v>63</v>
      </c>
      <c r="H134" s="4" t="s">
        <v>63</v>
      </c>
      <c r="I134" s="4" t="s">
        <v>63</v>
      </c>
      <c r="K134" t="s">
        <v>269</v>
      </c>
      <c r="L134" t="s">
        <v>71</v>
      </c>
      <c r="M134" t="s">
        <v>243</v>
      </c>
      <c r="R134" t="s">
        <v>193</v>
      </c>
      <c r="S134" t="s">
        <v>23</v>
      </c>
      <c r="T134" t="s">
        <v>70</v>
      </c>
      <c r="U134" t="s">
        <v>211</v>
      </c>
      <c r="W134" s="1">
        <f>[20]Pratt_etal_2010_Fig3bf!B11</f>
        <v>3.4059405940594198E-7</v>
      </c>
      <c r="Z134"/>
      <c r="AA134" t="s">
        <v>51</v>
      </c>
      <c r="AB134" t="s">
        <v>284</v>
      </c>
    </row>
    <row r="135" spans="1:28" x14ac:dyDescent="0.35">
      <c r="A135" t="s">
        <v>72</v>
      </c>
      <c r="B135" t="s">
        <v>65</v>
      </c>
      <c r="C135" t="s">
        <v>61</v>
      </c>
      <c r="D135" t="s">
        <v>62</v>
      </c>
      <c r="E135" t="s">
        <v>12</v>
      </c>
      <c r="F135" s="4" t="s">
        <v>64</v>
      </c>
      <c r="G135" s="4" t="s">
        <v>63</v>
      </c>
      <c r="H135" s="4" t="s">
        <v>63</v>
      </c>
      <c r="I135" s="4" t="s">
        <v>63</v>
      </c>
      <c r="K135" t="s">
        <v>269</v>
      </c>
      <c r="L135" t="s">
        <v>71</v>
      </c>
      <c r="M135" t="s">
        <v>243</v>
      </c>
      <c r="R135" t="s">
        <v>193</v>
      </c>
      <c r="S135" t="s">
        <v>23</v>
      </c>
      <c r="T135" t="s">
        <v>70</v>
      </c>
      <c r="U135" t="s">
        <v>211</v>
      </c>
      <c r="W135" s="1">
        <f>[20]Pratt_etal_2010_Fig3bf!B12</f>
        <v>2.33663366336634E-7</v>
      </c>
      <c r="Z135"/>
      <c r="AA135" t="s">
        <v>51</v>
      </c>
      <c r="AB135" t="s">
        <v>284</v>
      </c>
    </row>
    <row r="136" spans="1:28" x14ac:dyDescent="0.35">
      <c r="A136" t="s">
        <v>72</v>
      </c>
      <c r="B136" t="s">
        <v>66</v>
      </c>
      <c r="C136" t="s">
        <v>67</v>
      </c>
      <c r="D136" t="s">
        <v>62</v>
      </c>
      <c r="E136" t="s">
        <v>12</v>
      </c>
      <c r="F136" s="4" t="s">
        <v>64</v>
      </c>
      <c r="G136" s="4" t="s">
        <v>63</v>
      </c>
      <c r="H136" s="4" t="s">
        <v>63</v>
      </c>
      <c r="I136" s="4" t="s">
        <v>63</v>
      </c>
      <c r="K136" t="s">
        <v>269</v>
      </c>
      <c r="L136" t="s">
        <v>71</v>
      </c>
      <c r="M136" t="s">
        <v>243</v>
      </c>
      <c r="R136" t="s">
        <v>193</v>
      </c>
      <c r="S136" t="s">
        <v>23</v>
      </c>
      <c r="T136" t="s">
        <v>70</v>
      </c>
      <c r="U136" t="s">
        <v>211</v>
      </c>
      <c r="W136" s="1">
        <f>[20]Pratt_etal_2010_Fig3bf!B13</f>
        <v>2.3762376237623901E-7</v>
      </c>
      <c r="Z136"/>
      <c r="AA136" t="s">
        <v>51</v>
      </c>
      <c r="AB136" t="s">
        <v>284</v>
      </c>
    </row>
    <row r="137" spans="1:28" x14ac:dyDescent="0.35">
      <c r="A137" t="s">
        <v>73</v>
      </c>
      <c r="B137" t="s">
        <v>76</v>
      </c>
      <c r="C137" t="s">
        <v>74</v>
      </c>
      <c r="D137" t="s">
        <v>75</v>
      </c>
      <c r="E137" t="s">
        <v>12</v>
      </c>
      <c r="F137" t="s">
        <v>293</v>
      </c>
      <c r="G137" t="s">
        <v>293</v>
      </c>
      <c r="H137" t="s">
        <v>243</v>
      </c>
      <c r="I137" t="s">
        <v>298</v>
      </c>
      <c r="K137" t="s">
        <v>270</v>
      </c>
      <c r="L137" t="s">
        <v>77</v>
      </c>
      <c r="M137" t="s">
        <v>243</v>
      </c>
      <c r="R137" t="s">
        <v>193</v>
      </c>
      <c r="S137" t="s">
        <v>44</v>
      </c>
      <c r="T137" t="s">
        <v>31</v>
      </c>
      <c r="U137" t="s">
        <v>211</v>
      </c>
      <c r="W137" s="1">
        <v>8.4999999999999994E-8</v>
      </c>
      <c r="Z137"/>
      <c r="AA137" t="s">
        <v>52</v>
      </c>
      <c r="AB137" t="s">
        <v>285</v>
      </c>
    </row>
    <row r="138" spans="1:28" x14ac:dyDescent="0.35">
      <c r="A138" t="s">
        <v>73</v>
      </c>
      <c r="B138" t="s">
        <v>76</v>
      </c>
      <c r="C138" t="s">
        <v>74</v>
      </c>
      <c r="D138" t="s">
        <v>75</v>
      </c>
      <c r="E138" t="s">
        <v>12</v>
      </c>
      <c r="F138" t="s">
        <v>293</v>
      </c>
      <c r="G138" t="s">
        <v>293</v>
      </c>
      <c r="H138" t="s">
        <v>243</v>
      </c>
      <c r="I138" t="s">
        <v>298</v>
      </c>
      <c r="K138" t="s">
        <v>270</v>
      </c>
      <c r="L138" t="s">
        <v>78</v>
      </c>
      <c r="M138" t="s">
        <v>243</v>
      </c>
      <c r="R138" t="s">
        <v>193</v>
      </c>
      <c r="S138" t="s">
        <v>44</v>
      </c>
      <c r="T138" t="s">
        <v>31</v>
      </c>
      <c r="U138" t="s">
        <v>211</v>
      </c>
      <c r="W138" s="1">
        <v>3.8999999999999998E-8</v>
      </c>
      <c r="Z138"/>
      <c r="AA138" t="s">
        <v>52</v>
      </c>
      <c r="AB138" t="s">
        <v>285</v>
      </c>
    </row>
    <row r="139" spans="1:28" x14ac:dyDescent="0.35">
      <c r="A139" t="s">
        <v>73</v>
      </c>
      <c r="B139" t="s">
        <v>76</v>
      </c>
      <c r="C139" t="s">
        <v>74</v>
      </c>
      <c r="D139" t="s">
        <v>75</v>
      </c>
      <c r="E139" t="s">
        <v>12</v>
      </c>
      <c r="F139" t="s">
        <v>293</v>
      </c>
      <c r="G139" t="s">
        <v>293</v>
      </c>
      <c r="H139" t="s">
        <v>243</v>
      </c>
      <c r="I139" t="s">
        <v>298</v>
      </c>
      <c r="K139" t="s">
        <v>270</v>
      </c>
      <c r="L139" t="s">
        <v>77</v>
      </c>
      <c r="M139" t="s">
        <v>243</v>
      </c>
      <c r="R139" t="s">
        <v>193</v>
      </c>
      <c r="S139" t="s">
        <v>44</v>
      </c>
      <c r="T139" t="s">
        <v>31</v>
      </c>
      <c r="U139" t="s">
        <v>211</v>
      </c>
      <c r="W139" s="1">
        <v>3.9000000000000002E-7</v>
      </c>
      <c r="Z139"/>
      <c r="AA139" t="s">
        <v>21</v>
      </c>
      <c r="AB139" t="s">
        <v>285</v>
      </c>
    </row>
    <row r="140" spans="1:28" x14ac:dyDescent="0.35">
      <c r="A140" t="s">
        <v>73</v>
      </c>
      <c r="B140" t="s">
        <v>76</v>
      </c>
      <c r="C140" t="s">
        <v>74</v>
      </c>
      <c r="D140" t="s">
        <v>75</v>
      </c>
      <c r="E140" t="s">
        <v>12</v>
      </c>
      <c r="F140" t="s">
        <v>293</v>
      </c>
      <c r="G140" t="s">
        <v>293</v>
      </c>
      <c r="H140" t="s">
        <v>243</v>
      </c>
      <c r="I140" t="s">
        <v>298</v>
      </c>
      <c r="K140" t="s">
        <v>270</v>
      </c>
      <c r="L140" t="s">
        <v>78</v>
      </c>
      <c r="M140" t="s">
        <v>243</v>
      </c>
      <c r="R140" t="s">
        <v>193</v>
      </c>
      <c r="S140" t="s">
        <v>44</v>
      </c>
      <c r="T140" t="s">
        <v>31</v>
      </c>
      <c r="U140" t="s">
        <v>211</v>
      </c>
      <c r="W140" s="1">
        <v>2.2999999999999999E-7</v>
      </c>
      <c r="Z140"/>
      <c r="AA140" t="s">
        <v>21</v>
      </c>
      <c r="AB140" t="s">
        <v>285</v>
      </c>
    </row>
    <row r="141" spans="1:28" x14ac:dyDescent="0.35">
      <c r="A141" t="s">
        <v>73</v>
      </c>
      <c r="B141" t="s">
        <v>76</v>
      </c>
      <c r="C141" t="s">
        <v>74</v>
      </c>
      <c r="D141" t="s">
        <v>75</v>
      </c>
      <c r="E141" t="s">
        <v>12</v>
      </c>
      <c r="F141" t="s">
        <v>293</v>
      </c>
      <c r="G141" t="s">
        <v>293</v>
      </c>
      <c r="H141" t="s">
        <v>243</v>
      </c>
      <c r="I141" t="s">
        <v>298</v>
      </c>
      <c r="K141" t="s">
        <v>270</v>
      </c>
      <c r="L141" t="s">
        <v>77</v>
      </c>
      <c r="M141" t="s">
        <v>243</v>
      </c>
      <c r="R141" t="s">
        <v>193</v>
      </c>
      <c r="S141" t="s">
        <v>44</v>
      </c>
      <c r="T141" t="s">
        <v>31</v>
      </c>
      <c r="U141" t="s">
        <v>212</v>
      </c>
      <c r="W141" s="1">
        <v>6.2000000000000001E-9</v>
      </c>
      <c r="Z141"/>
      <c r="AA141" t="s">
        <v>21</v>
      </c>
      <c r="AB141" t="s">
        <v>285</v>
      </c>
    </row>
    <row r="142" spans="1:28" x14ac:dyDescent="0.35">
      <c r="A142" t="s">
        <v>73</v>
      </c>
      <c r="B142" t="s">
        <v>76</v>
      </c>
      <c r="C142" t="s">
        <v>74</v>
      </c>
      <c r="D142" t="s">
        <v>75</v>
      </c>
      <c r="E142" t="s">
        <v>12</v>
      </c>
      <c r="F142" t="s">
        <v>293</v>
      </c>
      <c r="G142" t="s">
        <v>293</v>
      </c>
      <c r="H142" t="s">
        <v>243</v>
      </c>
      <c r="I142" t="s">
        <v>298</v>
      </c>
      <c r="K142" t="s">
        <v>270</v>
      </c>
      <c r="L142" t="s">
        <v>78</v>
      </c>
      <c r="M142" t="s">
        <v>243</v>
      </c>
      <c r="R142" t="s">
        <v>193</v>
      </c>
      <c r="S142" t="s">
        <v>44</v>
      </c>
      <c r="T142" t="s">
        <v>31</v>
      </c>
      <c r="U142" t="s">
        <v>212</v>
      </c>
      <c r="W142" s="1">
        <v>2.1000000000000002E-9</v>
      </c>
      <c r="Z142"/>
      <c r="AA142" t="s">
        <v>21</v>
      </c>
      <c r="AB142" t="s">
        <v>285</v>
      </c>
    </row>
    <row r="143" spans="1:28" x14ac:dyDescent="0.35">
      <c r="A143" t="s">
        <v>84</v>
      </c>
      <c r="B143" t="s">
        <v>19</v>
      </c>
      <c r="C143" t="s">
        <v>20</v>
      </c>
      <c r="D143" t="s">
        <v>11</v>
      </c>
      <c r="E143" t="s">
        <v>14</v>
      </c>
      <c r="F143" t="s">
        <v>15</v>
      </c>
      <c r="G143" t="s">
        <v>15</v>
      </c>
      <c r="H143" t="s">
        <v>15</v>
      </c>
      <c r="I143" t="s">
        <v>242</v>
      </c>
      <c r="J143">
        <f>+AVERAGE(7,10)</f>
        <v>8.5</v>
      </c>
      <c r="K143" t="s">
        <v>281</v>
      </c>
      <c r="L143" t="s">
        <v>281</v>
      </c>
      <c r="M143" t="s">
        <v>281</v>
      </c>
      <c r="R143" t="s">
        <v>193</v>
      </c>
      <c r="S143" t="s">
        <v>25</v>
      </c>
      <c r="T143" t="s">
        <v>31</v>
      </c>
      <c r="U143" t="s">
        <v>211</v>
      </c>
      <c r="W143" s="1">
        <v>7.4000000000000001E-7</v>
      </c>
      <c r="X143" s="2"/>
      <c r="Y143">
        <v>11.2</v>
      </c>
      <c r="Z143">
        <v>0.98</v>
      </c>
      <c r="AA143" t="s">
        <v>21</v>
      </c>
      <c r="AB143" t="s">
        <v>285</v>
      </c>
    </row>
    <row r="144" spans="1:28" x14ac:dyDescent="0.35">
      <c r="A144" t="s">
        <v>84</v>
      </c>
      <c r="B144" t="s">
        <v>9</v>
      </c>
      <c r="C144" t="s">
        <v>10</v>
      </c>
      <c r="D144" t="s">
        <v>11</v>
      </c>
      <c r="E144" t="s">
        <v>12</v>
      </c>
      <c r="F144" t="s">
        <v>13</v>
      </c>
      <c r="G144" t="s">
        <v>13</v>
      </c>
      <c r="H144" t="s">
        <v>13</v>
      </c>
      <c r="I144" t="s">
        <v>242</v>
      </c>
      <c r="J144">
        <f>+AVERAGE(8,10)</f>
        <v>9</v>
      </c>
      <c r="K144" t="s">
        <v>281</v>
      </c>
      <c r="L144" t="s">
        <v>281</v>
      </c>
      <c r="M144" t="s">
        <v>281</v>
      </c>
      <c r="R144" t="s">
        <v>193</v>
      </c>
      <c r="S144" t="s">
        <v>25</v>
      </c>
      <c r="T144" t="s">
        <v>31</v>
      </c>
      <c r="U144" t="s">
        <v>211</v>
      </c>
      <c r="W144" s="1">
        <v>5.5000000000000003E-7</v>
      </c>
      <c r="X144" s="2"/>
      <c r="Y144">
        <v>7.1</v>
      </c>
      <c r="Z144">
        <v>0.63</v>
      </c>
      <c r="AA144" t="s">
        <v>21</v>
      </c>
      <c r="AB144" t="s">
        <v>285</v>
      </c>
    </row>
    <row r="145" spans="1:28" x14ac:dyDescent="0.35">
      <c r="A145" t="s">
        <v>173</v>
      </c>
      <c r="B145" t="s">
        <v>42</v>
      </c>
      <c r="C145" t="s">
        <v>43</v>
      </c>
      <c r="D145" t="s">
        <v>11</v>
      </c>
      <c r="E145" t="s">
        <v>12</v>
      </c>
      <c r="F145" t="s">
        <v>13</v>
      </c>
      <c r="G145" t="s">
        <v>13</v>
      </c>
      <c r="H145" t="s">
        <v>13</v>
      </c>
      <c r="I145" t="s">
        <v>242</v>
      </c>
      <c r="J145">
        <v>14</v>
      </c>
      <c r="K145" t="s">
        <v>281</v>
      </c>
      <c r="L145" t="s">
        <v>281</v>
      </c>
      <c r="M145" t="s">
        <v>281</v>
      </c>
      <c r="R145" t="s">
        <v>193</v>
      </c>
      <c r="S145" t="s">
        <v>25</v>
      </c>
      <c r="T145" t="s">
        <v>31</v>
      </c>
      <c r="U145" t="s">
        <v>211</v>
      </c>
      <c r="W145" s="1">
        <v>1.06E-7</v>
      </c>
      <c r="X145" s="2"/>
      <c r="Y145">
        <v>12</v>
      </c>
      <c r="Z145">
        <v>0.7</v>
      </c>
      <c r="AA145" t="s">
        <v>21</v>
      </c>
      <c r="AB145" t="s">
        <v>285</v>
      </c>
    </row>
    <row r="146" spans="1:28" x14ac:dyDescent="0.35">
      <c r="A146" t="s">
        <v>173</v>
      </c>
      <c r="B146" t="s">
        <v>90</v>
      </c>
      <c r="C146" t="s">
        <v>91</v>
      </c>
      <c r="D146" t="s">
        <v>92</v>
      </c>
      <c r="E146" t="s">
        <v>12</v>
      </c>
      <c r="F146" t="s">
        <v>216</v>
      </c>
      <c r="G146" t="s">
        <v>216</v>
      </c>
      <c r="H146" t="s">
        <v>290</v>
      </c>
      <c r="I146" t="s">
        <v>294</v>
      </c>
      <c r="J146">
        <v>14</v>
      </c>
      <c r="K146" t="s">
        <v>281</v>
      </c>
      <c r="L146" t="s">
        <v>281</v>
      </c>
      <c r="M146" t="s">
        <v>281</v>
      </c>
      <c r="R146" t="s">
        <v>193</v>
      </c>
      <c r="S146" t="s">
        <v>95</v>
      </c>
      <c r="T146" t="s">
        <v>31</v>
      </c>
      <c r="U146" t="s">
        <v>211</v>
      </c>
      <c r="W146" s="1">
        <v>5.8999999999999999E-8</v>
      </c>
      <c r="X146" s="2"/>
      <c r="Y146">
        <v>12</v>
      </c>
      <c r="Z146">
        <v>1</v>
      </c>
      <c r="AA146" t="s">
        <v>21</v>
      </c>
      <c r="AB146" t="s">
        <v>285</v>
      </c>
    </row>
    <row r="147" spans="1:28" x14ac:dyDescent="0.35">
      <c r="A147" t="s">
        <v>173</v>
      </c>
      <c r="B147" t="s">
        <v>89</v>
      </c>
      <c r="C147" t="s">
        <v>91</v>
      </c>
      <c r="D147" t="s">
        <v>92</v>
      </c>
      <c r="E147" t="s">
        <v>12</v>
      </c>
      <c r="F147" t="s">
        <v>216</v>
      </c>
      <c r="G147" t="s">
        <v>216</v>
      </c>
      <c r="H147" t="s">
        <v>290</v>
      </c>
      <c r="I147" t="s">
        <v>294</v>
      </c>
      <c r="J147">
        <v>14</v>
      </c>
      <c r="K147" t="s">
        <v>281</v>
      </c>
      <c r="L147" t="s">
        <v>281</v>
      </c>
      <c r="M147" t="s">
        <v>281</v>
      </c>
      <c r="R147" t="s">
        <v>193</v>
      </c>
      <c r="S147" t="s">
        <v>95</v>
      </c>
      <c r="T147" t="s">
        <v>31</v>
      </c>
      <c r="U147" t="s">
        <v>211</v>
      </c>
      <c r="W147" s="1">
        <v>5.9999999999999995E-8</v>
      </c>
      <c r="X147" s="2"/>
      <c r="Y147">
        <v>12.9</v>
      </c>
      <c r="Z147">
        <v>1.5</v>
      </c>
      <c r="AA147" t="s">
        <v>21</v>
      </c>
      <c r="AB147" t="s">
        <v>285</v>
      </c>
    </row>
    <row r="148" spans="1:28" x14ac:dyDescent="0.35">
      <c r="A148" t="s">
        <v>85</v>
      </c>
      <c r="B148" t="s">
        <v>9</v>
      </c>
      <c r="C148" t="s">
        <v>10</v>
      </c>
      <c r="D148" t="s">
        <v>11</v>
      </c>
      <c r="E148" t="s">
        <v>12</v>
      </c>
      <c r="F148" t="s">
        <v>13</v>
      </c>
      <c r="G148" t="s">
        <v>13</v>
      </c>
      <c r="H148" t="s">
        <v>13</v>
      </c>
      <c r="I148" t="s">
        <v>242</v>
      </c>
      <c r="J148">
        <f>5+0</f>
        <v>5</v>
      </c>
      <c r="K148" t="s">
        <v>45</v>
      </c>
      <c r="L148" t="s">
        <v>16</v>
      </c>
      <c r="M148" t="str">
        <f t="shared" ref="M148:M160" si="22">+IF(L148="Control","Control","Stress")</f>
        <v>Control</v>
      </c>
      <c r="R148" t="s">
        <v>193</v>
      </c>
      <c r="S148" t="s">
        <v>25</v>
      </c>
      <c r="T148" t="s">
        <v>31</v>
      </c>
      <c r="U148" t="s">
        <v>212</v>
      </c>
      <c r="W148" s="1">
        <f>'[21]Katsuhara&amp;Shibasaka_2007_Fig2'!B2</f>
        <v>1.06447638603696E-7</v>
      </c>
      <c r="Z148"/>
      <c r="AA148" t="s">
        <v>86</v>
      </c>
      <c r="AB148" t="s">
        <v>285</v>
      </c>
    </row>
    <row r="149" spans="1:28" x14ac:dyDescent="0.35">
      <c r="A149" t="s">
        <v>85</v>
      </c>
      <c r="B149" t="s">
        <v>9</v>
      </c>
      <c r="C149" t="s">
        <v>10</v>
      </c>
      <c r="D149" t="s">
        <v>11</v>
      </c>
      <c r="E149" t="s">
        <v>12</v>
      </c>
      <c r="F149" t="s">
        <v>13</v>
      </c>
      <c r="G149" t="s">
        <v>13</v>
      </c>
      <c r="H149" t="s">
        <v>13</v>
      </c>
      <c r="I149" t="s">
        <v>242</v>
      </c>
      <c r="J149">
        <f>5+1</f>
        <v>6</v>
      </c>
      <c r="K149" t="s">
        <v>45</v>
      </c>
      <c r="L149" t="s">
        <v>16</v>
      </c>
      <c r="M149" t="str">
        <f t="shared" si="22"/>
        <v>Control</v>
      </c>
      <c r="R149" t="s">
        <v>193</v>
      </c>
      <c r="S149" t="s">
        <v>25</v>
      </c>
      <c r="T149" t="s">
        <v>31</v>
      </c>
      <c r="U149" t="s">
        <v>212</v>
      </c>
      <c r="W149" s="1">
        <f>'[21]Katsuhara&amp;Shibasaka_2007_Fig2'!B3</f>
        <v>1.40616016427104E-7</v>
      </c>
      <c r="Z149"/>
      <c r="AA149" t="s">
        <v>86</v>
      </c>
      <c r="AB149" t="s">
        <v>285</v>
      </c>
    </row>
    <row r="150" spans="1:28" x14ac:dyDescent="0.35">
      <c r="A150" t="s">
        <v>85</v>
      </c>
      <c r="B150" t="s">
        <v>9</v>
      </c>
      <c r="C150" t="s">
        <v>10</v>
      </c>
      <c r="D150" t="s">
        <v>11</v>
      </c>
      <c r="E150" t="s">
        <v>12</v>
      </c>
      <c r="F150" t="s">
        <v>13</v>
      </c>
      <c r="G150" t="s">
        <v>13</v>
      </c>
      <c r="H150" t="s">
        <v>13</v>
      </c>
      <c r="I150" t="s">
        <v>242</v>
      </c>
      <c r="J150">
        <f>5+2</f>
        <v>7</v>
      </c>
      <c r="K150" t="s">
        <v>45</v>
      </c>
      <c r="L150" t="s">
        <v>16</v>
      </c>
      <c r="M150" t="str">
        <f t="shared" si="22"/>
        <v>Control</v>
      </c>
      <c r="R150" t="s">
        <v>193</v>
      </c>
      <c r="S150" t="s">
        <v>25</v>
      </c>
      <c r="T150" t="s">
        <v>31</v>
      </c>
      <c r="U150" t="s">
        <v>212</v>
      </c>
      <c r="W150" s="1">
        <f>'[21]Katsuhara&amp;Shibasaka_2007_Fig2'!B4</f>
        <v>9.0020533880903501E-8</v>
      </c>
      <c r="X150" s="1"/>
      <c r="Z150"/>
      <c r="AA150" t="s">
        <v>86</v>
      </c>
      <c r="AB150" t="s">
        <v>285</v>
      </c>
    </row>
    <row r="151" spans="1:28" x14ac:dyDescent="0.35">
      <c r="A151" t="s">
        <v>85</v>
      </c>
      <c r="B151" t="s">
        <v>9</v>
      </c>
      <c r="C151" t="s">
        <v>10</v>
      </c>
      <c r="D151" t="s">
        <v>11</v>
      </c>
      <c r="E151" t="s">
        <v>12</v>
      </c>
      <c r="F151" t="s">
        <v>13</v>
      </c>
      <c r="G151" t="s">
        <v>13</v>
      </c>
      <c r="H151" t="s">
        <v>13</v>
      </c>
      <c r="I151" t="s">
        <v>242</v>
      </c>
      <c r="J151">
        <f>5+1</f>
        <v>6</v>
      </c>
      <c r="K151" t="s">
        <v>45</v>
      </c>
      <c r="L151" t="s">
        <v>45</v>
      </c>
      <c r="M151" t="str">
        <f t="shared" si="22"/>
        <v>Stress</v>
      </c>
      <c r="R151" t="s">
        <v>193</v>
      </c>
      <c r="S151" t="s">
        <v>25</v>
      </c>
      <c r="T151" t="s">
        <v>31</v>
      </c>
      <c r="U151" t="s">
        <v>212</v>
      </c>
      <c r="W151" s="1">
        <f>'[21]Katsuhara&amp;Shibasaka_2007_Fig2'!B5</f>
        <v>5.7823408624229902E-8</v>
      </c>
      <c r="X151" s="1"/>
      <c r="Z151"/>
      <c r="AA151" t="s">
        <v>86</v>
      </c>
      <c r="AB151" t="s">
        <v>285</v>
      </c>
    </row>
    <row r="152" spans="1:28" x14ac:dyDescent="0.35">
      <c r="A152" t="s">
        <v>85</v>
      </c>
      <c r="B152" t="s">
        <v>9</v>
      </c>
      <c r="C152" t="s">
        <v>10</v>
      </c>
      <c r="D152" t="s">
        <v>11</v>
      </c>
      <c r="E152" t="s">
        <v>12</v>
      </c>
      <c r="F152" t="s">
        <v>13</v>
      </c>
      <c r="G152" t="s">
        <v>13</v>
      </c>
      <c r="H152" t="s">
        <v>13</v>
      </c>
      <c r="I152" t="s">
        <v>242</v>
      </c>
      <c r="J152">
        <f>5+2</f>
        <v>7</v>
      </c>
      <c r="K152" t="s">
        <v>45</v>
      </c>
      <c r="L152" t="s">
        <v>45</v>
      </c>
      <c r="M152" t="str">
        <f t="shared" si="22"/>
        <v>Stress</v>
      </c>
      <c r="R152" t="s">
        <v>193</v>
      </c>
      <c r="S152" t="s">
        <v>25</v>
      </c>
      <c r="T152" t="s">
        <v>31</v>
      </c>
      <c r="U152" t="s">
        <v>212</v>
      </c>
      <c r="W152" s="1">
        <f>'[21]Katsuhara&amp;Shibasaka_2007_Fig2'!B6</f>
        <v>6.5051334702258697E-8</v>
      </c>
      <c r="X152" s="1"/>
      <c r="Z152"/>
      <c r="AA152" t="s">
        <v>86</v>
      </c>
      <c r="AB152" t="s">
        <v>285</v>
      </c>
    </row>
    <row r="153" spans="1:28" x14ac:dyDescent="0.35">
      <c r="A153" t="s">
        <v>87</v>
      </c>
      <c r="B153" t="s">
        <v>19</v>
      </c>
      <c r="C153" t="s">
        <v>20</v>
      </c>
      <c r="D153" t="s">
        <v>11</v>
      </c>
      <c r="E153" t="s">
        <v>14</v>
      </c>
      <c r="F153" t="s">
        <v>15</v>
      </c>
      <c r="G153" t="s">
        <v>15</v>
      </c>
      <c r="H153" t="s">
        <v>15</v>
      </c>
      <c r="I153" t="s">
        <v>242</v>
      </c>
      <c r="J153">
        <f>6+1</f>
        <v>7</v>
      </c>
      <c r="K153" t="s">
        <v>190</v>
      </c>
      <c r="L153" t="s">
        <v>16</v>
      </c>
      <c r="M153" t="str">
        <f t="shared" si="22"/>
        <v>Control</v>
      </c>
      <c r="R153" t="s">
        <v>193</v>
      </c>
      <c r="S153" t="s">
        <v>29</v>
      </c>
      <c r="T153" t="s">
        <v>31</v>
      </c>
      <c r="U153" t="s">
        <v>211</v>
      </c>
      <c r="W153" s="1">
        <f>[22]Fan_etal_2007_Fig1!C2</f>
        <v>1.0654827968923417E-7</v>
      </c>
      <c r="Z153"/>
      <c r="AA153" t="s">
        <v>52</v>
      </c>
      <c r="AB153" t="s">
        <v>285</v>
      </c>
    </row>
    <row r="154" spans="1:28" x14ac:dyDescent="0.35">
      <c r="A154" t="s">
        <v>87</v>
      </c>
      <c r="B154" t="s">
        <v>19</v>
      </c>
      <c r="C154" t="s">
        <v>20</v>
      </c>
      <c r="D154" t="s">
        <v>11</v>
      </c>
      <c r="E154" t="s">
        <v>14</v>
      </c>
      <c r="F154" t="s">
        <v>15</v>
      </c>
      <c r="G154" t="s">
        <v>15</v>
      </c>
      <c r="H154" t="s">
        <v>15</v>
      </c>
      <c r="I154" t="s">
        <v>242</v>
      </c>
      <c r="J154">
        <f>6+4</f>
        <v>10</v>
      </c>
      <c r="K154" t="s">
        <v>190</v>
      </c>
      <c r="L154" t="s">
        <v>16</v>
      </c>
      <c r="M154" t="str">
        <f t="shared" si="22"/>
        <v>Control</v>
      </c>
      <c r="R154" t="s">
        <v>193</v>
      </c>
      <c r="S154" t="s">
        <v>29</v>
      </c>
      <c r="T154" t="s">
        <v>31</v>
      </c>
      <c r="U154" t="s">
        <v>211</v>
      </c>
      <c r="W154" s="1">
        <f>[22]Fan_etal_2007_Fig1!C3</f>
        <v>1.798002219755825E-7</v>
      </c>
      <c r="Z154"/>
      <c r="AA154" t="s">
        <v>52</v>
      </c>
      <c r="AB154" t="s">
        <v>285</v>
      </c>
    </row>
    <row r="155" spans="1:28" x14ac:dyDescent="0.35">
      <c r="A155" t="s">
        <v>87</v>
      </c>
      <c r="B155" t="s">
        <v>19</v>
      </c>
      <c r="C155" t="s">
        <v>20</v>
      </c>
      <c r="D155" t="s">
        <v>11</v>
      </c>
      <c r="E155" t="s">
        <v>14</v>
      </c>
      <c r="F155" t="s">
        <v>15</v>
      </c>
      <c r="G155" t="s">
        <v>15</v>
      </c>
      <c r="H155" t="s">
        <v>15</v>
      </c>
      <c r="I155" t="s">
        <v>242</v>
      </c>
      <c r="J155">
        <f>6+8</f>
        <v>14</v>
      </c>
      <c r="K155" t="s">
        <v>190</v>
      </c>
      <c r="L155" t="s">
        <v>16</v>
      </c>
      <c r="M155" t="str">
        <f t="shared" si="22"/>
        <v>Control</v>
      </c>
      <c r="R155" t="s">
        <v>193</v>
      </c>
      <c r="S155" t="s">
        <v>29</v>
      </c>
      <c r="T155" t="s">
        <v>31</v>
      </c>
      <c r="U155" t="s">
        <v>211</v>
      </c>
      <c r="W155" s="1">
        <f>[22]Fan_etal_2007_Fig1!C4</f>
        <v>2.5823159452460219E-7</v>
      </c>
      <c r="Z155"/>
      <c r="AA155" t="s">
        <v>52</v>
      </c>
      <c r="AB155" t="s">
        <v>285</v>
      </c>
    </row>
    <row r="156" spans="1:28" x14ac:dyDescent="0.35">
      <c r="A156" t="s">
        <v>87</v>
      </c>
      <c r="B156" t="s">
        <v>19</v>
      </c>
      <c r="C156" t="s">
        <v>20</v>
      </c>
      <c r="D156" t="s">
        <v>11</v>
      </c>
      <c r="E156" t="s">
        <v>14</v>
      </c>
      <c r="F156" t="s">
        <v>15</v>
      </c>
      <c r="G156" t="s">
        <v>15</v>
      </c>
      <c r="H156" t="s">
        <v>15</v>
      </c>
      <c r="I156" t="s">
        <v>242</v>
      </c>
      <c r="J156">
        <f>6+12</f>
        <v>18</v>
      </c>
      <c r="K156" t="s">
        <v>190</v>
      </c>
      <c r="L156" t="s">
        <v>16</v>
      </c>
      <c r="M156" t="str">
        <f t="shared" si="22"/>
        <v>Control</v>
      </c>
      <c r="R156" t="s">
        <v>193</v>
      </c>
      <c r="S156" t="s">
        <v>29</v>
      </c>
      <c r="T156" t="s">
        <v>31</v>
      </c>
      <c r="U156" t="s">
        <v>211</v>
      </c>
      <c r="W156" s="1">
        <f>[22]Fan_etal_2007_Fig1!C5</f>
        <v>2.2937476877543442E-7</v>
      </c>
      <c r="Z156"/>
      <c r="AA156" t="s">
        <v>52</v>
      </c>
      <c r="AB156" t="s">
        <v>285</v>
      </c>
    </row>
    <row r="157" spans="1:28" x14ac:dyDescent="0.35">
      <c r="A157" t="s">
        <v>87</v>
      </c>
      <c r="B157" t="s">
        <v>19</v>
      </c>
      <c r="C157" t="s">
        <v>20</v>
      </c>
      <c r="D157" t="s">
        <v>11</v>
      </c>
      <c r="E157" t="s">
        <v>14</v>
      </c>
      <c r="F157" t="s">
        <v>15</v>
      </c>
      <c r="G157" t="s">
        <v>15</v>
      </c>
      <c r="H157" t="s">
        <v>15</v>
      </c>
      <c r="I157" t="s">
        <v>242</v>
      </c>
      <c r="J157">
        <f t="shared" ref="J157:J160" si="23">J153</f>
        <v>7</v>
      </c>
      <c r="K157" t="s">
        <v>190</v>
      </c>
      <c r="L157" t="s">
        <v>81</v>
      </c>
      <c r="M157" t="str">
        <f t="shared" si="22"/>
        <v>Stress</v>
      </c>
      <c r="R157" t="s">
        <v>193</v>
      </c>
      <c r="S157" t="s">
        <v>29</v>
      </c>
      <c r="T157" t="s">
        <v>31</v>
      </c>
      <c r="U157" t="s">
        <v>211</v>
      </c>
      <c r="W157" s="1">
        <f>[22]Fan_etal_2007_Fig1!C6</f>
        <v>9.5449500554938887E-8</v>
      </c>
      <c r="Z157"/>
      <c r="AA157" t="s">
        <v>52</v>
      </c>
      <c r="AB157" t="s">
        <v>285</v>
      </c>
    </row>
    <row r="158" spans="1:28" x14ac:dyDescent="0.35">
      <c r="A158" t="s">
        <v>87</v>
      </c>
      <c r="B158" t="s">
        <v>19</v>
      </c>
      <c r="C158" t="s">
        <v>20</v>
      </c>
      <c r="D158" t="s">
        <v>11</v>
      </c>
      <c r="E158" t="s">
        <v>14</v>
      </c>
      <c r="F158" t="s">
        <v>15</v>
      </c>
      <c r="G158" t="s">
        <v>15</v>
      </c>
      <c r="H158" t="s">
        <v>15</v>
      </c>
      <c r="I158" t="s">
        <v>242</v>
      </c>
      <c r="J158">
        <f t="shared" si="23"/>
        <v>10</v>
      </c>
      <c r="K158" t="s">
        <v>190</v>
      </c>
      <c r="L158" t="s">
        <v>81</v>
      </c>
      <c r="M158" t="str">
        <f t="shared" si="22"/>
        <v>Stress</v>
      </c>
      <c r="R158" t="s">
        <v>193</v>
      </c>
      <c r="S158" t="s">
        <v>29</v>
      </c>
      <c r="T158" t="s">
        <v>31</v>
      </c>
      <c r="U158" t="s">
        <v>211</v>
      </c>
      <c r="W158" s="1">
        <f>[22]Fan_etal_2007_Fig1!C7</f>
        <v>1.5094339622641499E-7</v>
      </c>
      <c r="Z158"/>
      <c r="AA158" t="s">
        <v>52</v>
      </c>
      <c r="AB158" t="s">
        <v>285</v>
      </c>
    </row>
    <row r="159" spans="1:28" x14ac:dyDescent="0.35">
      <c r="A159" t="s">
        <v>87</v>
      </c>
      <c r="B159" t="s">
        <v>19</v>
      </c>
      <c r="C159" t="s">
        <v>20</v>
      </c>
      <c r="D159" t="s">
        <v>11</v>
      </c>
      <c r="E159" t="s">
        <v>14</v>
      </c>
      <c r="F159" t="s">
        <v>15</v>
      </c>
      <c r="G159" t="s">
        <v>15</v>
      </c>
      <c r="H159" t="s">
        <v>15</v>
      </c>
      <c r="I159" t="s">
        <v>242</v>
      </c>
      <c r="J159">
        <f t="shared" si="23"/>
        <v>14</v>
      </c>
      <c r="K159" t="s">
        <v>190</v>
      </c>
      <c r="L159" t="s">
        <v>81</v>
      </c>
      <c r="M159" t="str">
        <f t="shared" si="22"/>
        <v>Stress</v>
      </c>
      <c r="R159" t="s">
        <v>193</v>
      </c>
      <c r="S159" t="s">
        <v>29</v>
      </c>
      <c r="T159" t="s">
        <v>31</v>
      </c>
      <c r="U159" t="s">
        <v>211</v>
      </c>
      <c r="W159" s="1">
        <f>[22]Fan_etal_2007_Fig1!C8</f>
        <v>1.4280429152793166E-7</v>
      </c>
      <c r="Z159"/>
      <c r="AA159" t="s">
        <v>52</v>
      </c>
      <c r="AB159" t="s">
        <v>285</v>
      </c>
    </row>
    <row r="160" spans="1:28" x14ac:dyDescent="0.35">
      <c r="A160" t="s">
        <v>87</v>
      </c>
      <c r="B160" t="s">
        <v>19</v>
      </c>
      <c r="C160" t="s">
        <v>20</v>
      </c>
      <c r="D160" t="s">
        <v>11</v>
      </c>
      <c r="E160" t="s">
        <v>14</v>
      </c>
      <c r="F160" t="s">
        <v>15</v>
      </c>
      <c r="G160" t="s">
        <v>15</v>
      </c>
      <c r="H160" t="s">
        <v>15</v>
      </c>
      <c r="I160" t="s">
        <v>242</v>
      </c>
      <c r="J160">
        <f t="shared" si="23"/>
        <v>18</v>
      </c>
      <c r="K160" t="s">
        <v>190</v>
      </c>
      <c r="L160" t="s">
        <v>81</v>
      </c>
      <c r="M160" t="str">
        <f t="shared" si="22"/>
        <v>Stress</v>
      </c>
      <c r="R160" t="s">
        <v>193</v>
      </c>
      <c r="S160" t="s">
        <v>29</v>
      </c>
      <c r="T160" t="s">
        <v>31</v>
      </c>
      <c r="U160" t="s">
        <v>211</v>
      </c>
      <c r="W160" s="1">
        <f>[22]Fan_etal_2007_Fig1!C9</f>
        <v>1.3688494265630778E-7</v>
      </c>
      <c r="Z160"/>
      <c r="AA160" t="s">
        <v>52</v>
      </c>
      <c r="AB160" t="s">
        <v>285</v>
      </c>
    </row>
    <row r="161" spans="1:28" x14ac:dyDescent="0.35">
      <c r="A161" t="s">
        <v>88</v>
      </c>
      <c r="B161" t="s">
        <v>89</v>
      </c>
      <c r="C161" t="s">
        <v>91</v>
      </c>
      <c r="D161" t="s">
        <v>92</v>
      </c>
      <c r="E161" t="s">
        <v>12</v>
      </c>
      <c r="F161" t="s">
        <v>216</v>
      </c>
      <c r="G161" t="s">
        <v>216</v>
      </c>
      <c r="H161" t="s">
        <v>290</v>
      </c>
      <c r="I161" t="s">
        <v>294</v>
      </c>
      <c r="J161">
        <f>+AVERAGE(10,14)</f>
        <v>12</v>
      </c>
      <c r="K161" t="s">
        <v>281</v>
      </c>
      <c r="L161" t="s">
        <v>281</v>
      </c>
      <c r="M161" t="s">
        <v>281</v>
      </c>
      <c r="R161" t="s">
        <v>193</v>
      </c>
      <c r="S161" t="s">
        <v>95</v>
      </c>
      <c r="T161" t="s">
        <v>31</v>
      </c>
      <c r="U161" t="s">
        <v>211</v>
      </c>
      <c r="W161" s="1">
        <f>[23]Bramley_etal_2007_Fig4!B2</f>
        <v>1.77503974562798E-7</v>
      </c>
      <c r="Z161"/>
      <c r="AA161" t="s">
        <v>93</v>
      </c>
      <c r="AB161" t="s">
        <v>285</v>
      </c>
    </row>
    <row r="162" spans="1:28" x14ac:dyDescent="0.35">
      <c r="A162" t="s">
        <v>88</v>
      </c>
      <c r="B162" t="s">
        <v>89</v>
      </c>
      <c r="C162" t="s">
        <v>91</v>
      </c>
      <c r="D162" t="s">
        <v>92</v>
      </c>
      <c r="E162" t="s">
        <v>12</v>
      </c>
      <c r="F162" t="s">
        <v>216</v>
      </c>
      <c r="G162" t="s">
        <v>216</v>
      </c>
      <c r="H162" t="s">
        <v>290</v>
      </c>
      <c r="I162" t="s">
        <v>294</v>
      </c>
      <c r="J162">
        <f t="shared" ref="J162:J172" si="24">+AVERAGE(10,14)</f>
        <v>12</v>
      </c>
      <c r="K162" t="s">
        <v>281</v>
      </c>
      <c r="L162" t="s">
        <v>281</v>
      </c>
      <c r="M162" t="s">
        <v>281</v>
      </c>
      <c r="R162" t="s">
        <v>193</v>
      </c>
      <c r="S162" t="s">
        <v>95</v>
      </c>
      <c r="T162" t="s">
        <v>31</v>
      </c>
      <c r="U162" t="s">
        <v>211</v>
      </c>
      <c r="W162" s="1">
        <f>[23]Bramley_etal_2007_Fig4!B3</f>
        <v>4.8410174880763001E-8</v>
      </c>
      <c r="Z162"/>
      <c r="AA162" t="s">
        <v>94</v>
      </c>
      <c r="AB162" t="s">
        <v>285</v>
      </c>
    </row>
    <row r="163" spans="1:28" x14ac:dyDescent="0.35">
      <c r="A163" t="s">
        <v>88</v>
      </c>
      <c r="B163" t="s">
        <v>89</v>
      </c>
      <c r="C163" t="s">
        <v>91</v>
      </c>
      <c r="D163" t="s">
        <v>92</v>
      </c>
      <c r="E163" t="s">
        <v>12</v>
      </c>
      <c r="F163" t="s">
        <v>216</v>
      </c>
      <c r="G163" t="s">
        <v>216</v>
      </c>
      <c r="H163" t="s">
        <v>290</v>
      </c>
      <c r="I163" t="s">
        <v>294</v>
      </c>
      <c r="J163">
        <f t="shared" si="24"/>
        <v>12</v>
      </c>
      <c r="K163" t="s">
        <v>281</v>
      </c>
      <c r="L163" t="s">
        <v>281</v>
      </c>
      <c r="M163" t="s">
        <v>281</v>
      </c>
      <c r="R163" t="s">
        <v>193</v>
      </c>
      <c r="S163" t="s">
        <v>95</v>
      </c>
      <c r="T163" t="s">
        <v>31</v>
      </c>
      <c r="U163" t="s">
        <v>212</v>
      </c>
      <c r="W163" s="1">
        <f>[23]Bramley_etal_2007_Fig4!B4</f>
        <v>2.05882352941176E-8</v>
      </c>
      <c r="Z163"/>
      <c r="AA163" t="s">
        <v>93</v>
      </c>
      <c r="AB163" t="s">
        <v>285</v>
      </c>
    </row>
    <row r="164" spans="1:28" x14ac:dyDescent="0.35">
      <c r="A164" t="s">
        <v>88</v>
      </c>
      <c r="B164" t="s">
        <v>90</v>
      </c>
      <c r="C164" t="s">
        <v>91</v>
      </c>
      <c r="D164" t="s">
        <v>92</v>
      </c>
      <c r="E164" t="s">
        <v>12</v>
      </c>
      <c r="F164" t="s">
        <v>216</v>
      </c>
      <c r="G164" t="s">
        <v>216</v>
      </c>
      <c r="H164" t="s">
        <v>290</v>
      </c>
      <c r="I164" t="s">
        <v>294</v>
      </c>
      <c r="J164">
        <f t="shared" si="24"/>
        <v>12</v>
      </c>
      <c r="K164" t="s">
        <v>281</v>
      </c>
      <c r="L164" t="s">
        <v>281</v>
      </c>
      <c r="M164" t="s">
        <v>281</v>
      </c>
      <c r="R164" t="s">
        <v>193</v>
      </c>
      <c r="S164" t="s">
        <v>95</v>
      </c>
      <c r="T164" t="s">
        <v>31</v>
      </c>
      <c r="U164" t="s">
        <v>211</v>
      </c>
      <c r="W164" s="1">
        <f>[23]Bramley_etal_2007_Fig4!B5</f>
        <v>1.5969793322734399E-7</v>
      </c>
      <c r="Z164"/>
      <c r="AA164" t="s">
        <v>93</v>
      </c>
      <c r="AB164" t="s">
        <v>285</v>
      </c>
    </row>
    <row r="165" spans="1:28" x14ac:dyDescent="0.35">
      <c r="A165" t="s">
        <v>88</v>
      </c>
      <c r="B165" t="s">
        <v>90</v>
      </c>
      <c r="C165" t="s">
        <v>91</v>
      </c>
      <c r="D165" t="s">
        <v>92</v>
      </c>
      <c r="E165" t="s">
        <v>12</v>
      </c>
      <c r="F165" t="s">
        <v>216</v>
      </c>
      <c r="G165" t="s">
        <v>216</v>
      </c>
      <c r="H165" t="s">
        <v>290</v>
      </c>
      <c r="I165" t="s">
        <v>294</v>
      </c>
      <c r="J165">
        <f t="shared" si="24"/>
        <v>12</v>
      </c>
      <c r="K165" t="s">
        <v>281</v>
      </c>
      <c r="L165" t="s">
        <v>281</v>
      </c>
      <c r="M165" t="s">
        <v>281</v>
      </c>
      <c r="R165" t="s">
        <v>193</v>
      </c>
      <c r="S165" t="s">
        <v>95</v>
      </c>
      <c r="T165" t="s">
        <v>31</v>
      </c>
      <c r="U165" t="s">
        <v>211</v>
      </c>
      <c r="W165" s="1">
        <f>[23]Bramley_etal_2007_Fig4!B6</f>
        <v>6.0651828298887094E-8</v>
      </c>
      <c r="Z165"/>
      <c r="AA165" t="s">
        <v>94</v>
      </c>
      <c r="AB165" t="s">
        <v>285</v>
      </c>
    </row>
    <row r="166" spans="1:28" x14ac:dyDescent="0.35">
      <c r="A166" t="s">
        <v>88</v>
      </c>
      <c r="B166" t="s">
        <v>90</v>
      </c>
      <c r="C166" t="s">
        <v>91</v>
      </c>
      <c r="D166" t="s">
        <v>92</v>
      </c>
      <c r="E166" t="s">
        <v>12</v>
      </c>
      <c r="F166" t="s">
        <v>216</v>
      </c>
      <c r="G166" t="s">
        <v>216</v>
      </c>
      <c r="H166" t="s">
        <v>290</v>
      </c>
      <c r="I166" t="s">
        <v>294</v>
      </c>
      <c r="J166">
        <f t="shared" si="24"/>
        <v>12</v>
      </c>
      <c r="K166" t="s">
        <v>281</v>
      </c>
      <c r="L166" t="s">
        <v>281</v>
      </c>
      <c r="M166" t="s">
        <v>281</v>
      </c>
      <c r="R166" t="s">
        <v>193</v>
      </c>
      <c r="S166" t="s">
        <v>95</v>
      </c>
      <c r="T166" t="s">
        <v>31</v>
      </c>
      <c r="U166" t="s">
        <v>212</v>
      </c>
      <c r="W166" s="1">
        <f>[23]Bramley_etal_2007_Fig4!B7</f>
        <v>2.61526232114466E-8</v>
      </c>
      <c r="Z166"/>
      <c r="AA166" t="s">
        <v>93</v>
      </c>
      <c r="AB166" t="s">
        <v>285</v>
      </c>
    </row>
    <row r="167" spans="1:28" x14ac:dyDescent="0.35">
      <c r="A167" t="s">
        <v>88</v>
      </c>
      <c r="B167" t="s">
        <v>42</v>
      </c>
      <c r="C167" t="s">
        <v>43</v>
      </c>
      <c r="D167" t="s">
        <v>11</v>
      </c>
      <c r="E167" t="s">
        <v>12</v>
      </c>
      <c r="F167" t="s">
        <v>13</v>
      </c>
      <c r="G167" t="s">
        <v>13</v>
      </c>
      <c r="H167" t="s">
        <v>13</v>
      </c>
      <c r="I167" t="s">
        <v>242</v>
      </c>
      <c r="J167">
        <f t="shared" si="24"/>
        <v>12</v>
      </c>
      <c r="K167" t="s">
        <v>281</v>
      </c>
      <c r="L167" t="s">
        <v>281</v>
      </c>
      <c r="M167" t="s">
        <v>281</v>
      </c>
      <c r="R167" t="s">
        <v>193</v>
      </c>
      <c r="S167" t="s">
        <v>25</v>
      </c>
      <c r="T167" t="s">
        <v>31</v>
      </c>
      <c r="U167" t="s">
        <v>211</v>
      </c>
      <c r="W167" s="1">
        <f>[23]Bramley_etal_2007_Fig4!B8</f>
        <v>1.9197138314785299E-7</v>
      </c>
      <c r="Z167"/>
      <c r="AA167" t="s">
        <v>93</v>
      </c>
      <c r="AB167" t="s">
        <v>285</v>
      </c>
    </row>
    <row r="168" spans="1:28" x14ac:dyDescent="0.35">
      <c r="A168" t="s">
        <v>88</v>
      </c>
      <c r="B168" t="s">
        <v>42</v>
      </c>
      <c r="C168" t="s">
        <v>43</v>
      </c>
      <c r="D168" t="s">
        <v>11</v>
      </c>
      <c r="E168" t="s">
        <v>12</v>
      </c>
      <c r="F168" t="s">
        <v>13</v>
      </c>
      <c r="G168" t="s">
        <v>13</v>
      </c>
      <c r="H168" t="s">
        <v>13</v>
      </c>
      <c r="I168" t="s">
        <v>242</v>
      </c>
      <c r="J168">
        <f t="shared" si="24"/>
        <v>12</v>
      </c>
      <c r="K168" t="s">
        <v>281</v>
      </c>
      <c r="L168" t="s">
        <v>281</v>
      </c>
      <c r="M168" t="s">
        <v>281</v>
      </c>
      <c r="R168" t="s">
        <v>193</v>
      </c>
      <c r="S168" t="s">
        <v>25</v>
      </c>
      <c r="T168" t="s">
        <v>31</v>
      </c>
      <c r="U168" t="s">
        <v>211</v>
      </c>
      <c r="W168" s="1">
        <f>[23]Bramley_etal_2007_Fig4!B9</f>
        <v>8.0127186009538901E-8</v>
      </c>
      <c r="Z168"/>
      <c r="AA168" t="s">
        <v>94</v>
      </c>
      <c r="AB168" t="s">
        <v>285</v>
      </c>
    </row>
    <row r="169" spans="1:28" x14ac:dyDescent="0.35">
      <c r="A169" t="s">
        <v>88</v>
      </c>
      <c r="B169" t="s">
        <v>42</v>
      </c>
      <c r="C169" t="s">
        <v>43</v>
      </c>
      <c r="D169" t="s">
        <v>11</v>
      </c>
      <c r="E169" t="s">
        <v>12</v>
      </c>
      <c r="F169" t="s">
        <v>13</v>
      </c>
      <c r="G169" t="s">
        <v>13</v>
      </c>
      <c r="H169" t="s">
        <v>13</v>
      </c>
      <c r="I169" t="s">
        <v>242</v>
      </c>
      <c r="J169">
        <f t="shared" si="24"/>
        <v>12</v>
      </c>
      <c r="K169" t="s">
        <v>281</v>
      </c>
      <c r="L169" t="s">
        <v>281</v>
      </c>
      <c r="M169" t="s">
        <v>281</v>
      </c>
      <c r="R169" t="s">
        <v>193</v>
      </c>
      <c r="S169" t="s">
        <v>25</v>
      </c>
      <c r="T169" t="s">
        <v>31</v>
      </c>
      <c r="U169" t="s">
        <v>212</v>
      </c>
      <c r="W169" s="1">
        <f>[23]Bramley_etal_2007_Fig4!B10</f>
        <v>8.1240063593004704E-8</v>
      </c>
      <c r="Z169"/>
      <c r="AA169" t="s">
        <v>93</v>
      </c>
      <c r="AB169" t="s">
        <v>285</v>
      </c>
    </row>
    <row r="170" spans="1:28" x14ac:dyDescent="0.35">
      <c r="A170" t="s">
        <v>88</v>
      </c>
      <c r="B170" t="s">
        <v>19</v>
      </c>
      <c r="C170" t="s">
        <v>20</v>
      </c>
      <c r="D170" t="s">
        <v>11</v>
      </c>
      <c r="E170" t="s">
        <v>14</v>
      </c>
      <c r="F170" t="s">
        <v>15</v>
      </c>
      <c r="G170" t="s">
        <v>15</v>
      </c>
      <c r="H170" t="s">
        <v>15</v>
      </c>
      <c r="I170" t="s">
        <v>242</v>
      </c>
      <c r="J170">
        <f t="shared" si="24"/>
        <v>12</v>
      </c>
      <c r="K170" t="s">
        <v>281</v>
      </c>
      <c r="L170" t="s">
        <v>281</v>
      </c>
      <c r="M170" t="s">
        <v>281</v>
      </c>
      <c r="R170" t="s">
        <v>193</v>
      </c>
      <c r="S170" t="s">
        <v>25</v>
      </c>
      <c r="T170" t="s">
        <v>31</v>
      </c>
      <c r="U170" t="s">
        <v>211</v>
      </c>
      <c r="W170" s="1">
        <f>[23]Bramley_etal_2007_Fig4!B11</f>
        <v>3.2774244833068302E-7</v>
      </c>
      <c r="Z170"/>
      <c r="AA170" t="s">
        <v>93</v>
      </c>
      <c r="AB170" t="s">
        <v>285</v>
      </c>
    </row>
    <row r="171" spans="1:28" x14ac:dyDescent="0.35">
      <c r="A171" t="s">
        <v>88</v>
      </c>
      <c r="B171" t="s">
        <v>19</v>
      </c>
      <c r="C171" t="s">
        <v>20</v>
      </c>
      <c r="D171" t="s">
        <v>11</v>
      </c>
      <c r="E171" t="s">
        <v>14</v>
      </c>
      <c r="F171" t="s">
        <v>15</v>
      </c>
      <c r="G171" t="s">
        <v>15</v>
      </c>
      <c r="H171" t="s">
        <v>15</v>
      </c>
      <c r="I171" t="s">
        <v>242</v>
      </c>
      <c r="J171">
        <f t="shared" si="24"/>
        <v>12</v>
      </c>
      <c r="K171" t="s">
        <v>281</v>
      </c>
      <c r="L171" t="s">
        <v>281</v>
      </c>
      <c r="M171" t="s">
        <v>281</v>
      </c>
      <c r="R171" t="s">
        <v>193</v>
      </c>
      <c r="S171" t="s">
        <v>25</v>
      </c>
      <c r="T171" t="s">
        <v>31</v>
      </c>
      <c r="U171" t="s">
        <v>211</v>
      </c>
      <c r="W171" s="1">
        <f>[23]Bramley_etal_2007_Fig4!B12</f>
        <v>1.5023847376788499E-7</v>
      </c>
      <c r="Z171"/>
      <c r="AA171" t="s">
        <v>94</v>
      </c>
      <c r="AB171" t="s">
        <v>285</v>
      </c>
    </row>
    <row r="172" spans="1:28" x14ac:dyDescent="0.35">
      <c r="A172" t="s">
        <v>88</v>
      </c>
      <c r="B172" t="s">
        <v>19</v>
      </c>
      <c r="C172" t="s">
        <v>20</v>
      </c>
      <c r="D172" t="s">
        <v>11</v>
      </c>
      <c r="E172" t="s">
        <v>14</v>
      </c>
      <c r="F172" t="s">
        <v>15</v>
      </c>
      <c r="G172" t="s">
        <v>15</v>
      </c>
      <c r="H172" t="s">
        <v>15</v>
      </c>
      <c r="I172" t="s">
        <v>242</v>
      </c>
      <c r="J172">
        <f t="shared" si="24"/>
        <v>12</v>
      </c>
      <c r="K172" t="s">
        <v>281</v>
      </c>
      <c r="L172" t="s">
        <v>281</v>
      </c>
      <c r="M172" t="s">
        <v>281</v>
      </c>
      <c r="R172" t="s">
        <v>193</v>
      </c>
      <c r="S172" t="s">
        <v>25</v>
      </c>
      <c r="T172" t="s">
        <v>31</v>
      </c>
      <c r="U172" t="s">
        <v>212</v>
      </c>
      <c r="W172" s="1">
        <f>[23]Bramley_etal_2007_Fig4!B13</f>
        <v>3.1717011128775801E-8</v>
      </c>
      <c r="Z172"/>
      <c r="AA172" t="s">
        <v>93</v>
      </c>
      <c r="AB172" t="s">
        <v>285</v>
      </c>
    </row>
    <row r="173" spans="1:28" x14ac:dyDescent="0.35">
      <c r="A173" t="s">
        <v>79</v>
      </c>
      <c r="B173" t="s">
        <v>19</v>
      </c>
      <c r="C173" t="s">
        <v>20</v>
      </c>
      <c r="D173" t="s">
        <v>11</v>
      </c>
      <c r="E173" t="s">
        <v>14</v>
      </c>
      <c r="F173" t="s">
        <v>15</v>
      </c>
      <c r="G173" t="s">
        <v>15</v>
      </c>
      <c r="H173" t="s">
        <v>15</v>
      </c>
      <c r="I173" t="s">
        <v>242</v>
      </c>
      <c r="J173">
        <v>15</v>
      </c>
      <c r="K173" t="s">
        <v>191</v>
      </c>
      <c r="L173" t="s">
        <v>80</v>
      </c>
      <c r="M173" t="str">
        <f t="shared" ref="M173:M186" si="25">+IF(L173="Control","Control","Stress")</f>
        <v>Stress</v>
      </c>
      <c r="N173" t="s">
        <v>16</v>
      </c>
      <c r="O173" t="str">
        <f t="shared" ref="O173:O178" si="26">+IF(N173="Control", "Control", "Stress")</f>
        <v>Control</v>
      </c>
      <c r="R173" t="s">
        <v>193</v>
      </c>
      <c r="S173" t="s">
        <v>29</v>
      </c>
      <c r="T173" t="s">
        <v>31</v>
      </c>
      <c r="U173" t="s">
        <v>211</v>
      </c>
      <c r="W173" s="1">
        <f>[24]Mu_etal_2006_Fig1a!B2</f>
        <v>9.6649484536082404E-8</v>
      </c>
      <c r="Z173"/>
      <c r="AA173" t="s">
        <v>52</v>
      </c>
      <c r="AB173" t="s">
        <v>285</v>
      </c>
    </row>
    <row r="174" spans="1:28" x14ac:dyDescent="0.35">
      <c r="A174" t="s">
        <v>79</v>
      </c>
      <c r="B174" t="s">
        <v>19</v>
      </c>
      <c r="C174" t="s">
        <v>20</v>
      </c>
      <c r="D174" t="s">
        <v>11</v>
      </c>
      <c r="E174" t="s">
        <v>14</v>
      </c>
      <c r="F174" t="s">
        <v>15</v>
      </c>
      <c r="G174" t="s">
        <v>15</v>
      </c>
      <c r="H174" t="s">
        <v>15</v>
      </c>
      <c r="I174" t="s">
        <v>242</v>
      </c>
      <c r="J174">
        <v>15</v>
      </c>
      <c r="K174" t="s">
        <v>191</v>
      </c>
      <c r="L174" t="s">
        <v>80</v>
      </c>
      <c r="M174" t="str">
        <f t="shared" si="25"/>
        <v>Stress</v>
      </c>
      <c r="N174" t="s">
        <v>81</v>
      </c>
      <c r="O174" t="str">
        <f t="shared" si="26"/>
        <v>Stress</v>
      </c>
      <c r="R174" t="s">
        <v>193</v>
      </c>
      <c r="S174" t="s">
        <v>29</v>
      </c>
      <c r="T174" t="s">
        <v>31</v>
      </c>
      <c r="U174" t="s">
        <v>211</v>
      </c>
      <c r="W174" s="1">
        <f>[24]Mu_etal_2006_Fig1a!B3</f>
        <v>2.08762886597938E-8</v>
      </c>
      <c r="Z174"/>
      <c r="AA174" t="s">
        <v>52</v>
      </c>
      <c r="AB174" t="s">
        <v>285</v>
      </c>
    </row>
    <row r="175" spans="1:28" x14ac:dyDescent="0.35">
      <c r="A175" t="s">
        <v>79</v>
      </c>
      <c r="B175" t="s">
        <v>19</v>
      </c>
      <c r="C175" t="s">
        <v>20</v>
      </c>
      <c r="D175" t="s">
        <v>11</v>
      </c>
      <c r="E175" t="s">
        <v>14</v>
      </c>
      <c r="F175" t="s">
        <v>15</v>
      </c>
      <c r="G175" t="s">
        <v>15</v>
      </c>
      <c r="H175" t="s">
        <v>15</v>
      </c>
      <c r="I175" t="s">
        <v>242</v>
      </c>
      <c r="J175">
        <v>15</v>
      </c>
      <c r="K175" t="s">
        <v>191</v>
      </c>
      <c r="L175" t="s">
        <v>80</v>
      </c>
      <c r="M175" t="str">
        <f t="shared" si="25"/>
        <v>Stress</v>
      </c>
      <c r="N175" t="s">
        <v>82</v>
      </c>
      <c r="O175" t="str">
        <f t="shared" si="26"/>
        <v>Stress</v>
      </c>
      <c r="R175" t="s">
        <v>193</v>
      </c>
      <c r="S175" t="s">
        <v>29</v>
      </c>
      <c r="T175" t="s">
        <v>31</v>
      </c>
      <c r="U175" t="s">
        <v>211</v>
      </c>
      <c r="W175" s="1">
        <f>[24]Mu_etal_2006_Fig1a!B4</f>
        <v>4.21391752577319E-8</v>
      </c>
      <c r="Z175"/>
      <c r="AA175" t="s">
        <v>52</v>
      </c>
      <c r="AB175" t="s">
        <v>285</v>
      </c>
    </row>
    <row r="176" spans="1:28" x14ac:dyDescent="0.35">
      <c r="A176" t="s">
        <v>79</v>
      </c>
      <c r="B176" t="s">
        <v>19</v>
      </c>
      <c r="C176" t="s">
        <v>20</v>
      </c>
      <c r="D176" t="s">
        <v>11</v>
      </c>
      <c r="E176" t="s">
        <v>14</v>
      </c>
      <c r="F176" t="s">
        <v>15</v>
      </c>
      <c r="G176" t="s">
        <v>15</v>
      </c>
      <c r="H176" t="s">
        <v>15</v>
      </c>
      <c r="I176" t="s">
        <v>242</v>
      </c>
      <c r="J176">
        <v>15</v>
      </c>
      <c r="K176" t="s">
        <v>191</v>
      </c>
      <c r="L176" t="s">
        <v>16</v>
      </c>
      <c r="M176" t="str">
        <f t="shared" si="25"/>
        <v>Control</v>
      </c>
      <c r="N176" t="s">
        <v>16</v>
      </c>
      <c r="O176" t="str">
        <f t="shared" si="26"/>
        <v>Control</v>
      </c>
      <c r="R176" t="s">
        <v>193</v>
      </c>
      <c r="S176" t="s">
        <v>29</v>
      </c>
      <c r="T176" t="s">
        <v>31</v>
      </c>
      <c r="U176" t="s">
        <v>211</v>
      </c>
      <c r="W176" s="1">
        <f>[24]Mu_etal_2006_Fig1a!B5</f>
        <v>1.99097938144329E-7</v>
      </c>
      <c r="Z176"/>
      <c r="AA176" t="s">
        <v>52</v>
      </c>
      <c r="AB176" t="s">
        <v>285</v>
      </c>
    </row>
    <row r="177" spans="1:28" x14ac:dyDescent="0.35">
      <c r="A177" t="s">
        <v>79</v>
      </c>
      <c r="B177" t="s">
        <v>19</v>
      </c>
      <c r="C177" t="s">
        <v>20</v>
      </c>
      <c r="D177" t="s">
        <v>11</v>
      </c>
      <c r="E177" t="s">
        <v>14</v>
      </c>
      <c r="F177" t="s">
        <v>15</v>
      </c>
      <c r="G177" t="s">
        <v>15</v>
      </c>
      <c r="H177" t="s">
        <v>15</v>
      </c>
      <c r="I177" t="s">
        <v>242</v>
      </c>
      <c r="J177">
        <v>15</v>
      </c>
      <c r="K177" t="s">
        <v>191</v>
      </c>
      <c r="L177" t="s">
        <v>16</v>
      </c>
      <c r="M177" t="str">
        <f t="shared" si="25"/>
        <v>Control</v>
      </c>
      <c r="N177" t="s">
        <v>81</v>
      </c>
      <c r="O177" t="str">
        <f t="shared" si="26"/>
        <v>Stress</v>
      </c>
      <c r="R177" t="s">
        <v>193</v>
      </c>
      <c r="S177" t="s">
        <v>29</v>
      </c>
      <c r="T177" t="s">
        <v>31</v>
      </c>
      <c r="U177" t="s">
        <v>211</v>
      </c>
      <c r="W177" s="1">
        <f>[24]Mu_etal_2006_Fig1a!B6</f>
        <v>3.6340206185566899E-8</v>
      </c>
      <c r="Z177"/>
      <c r="AA177" t="s">
        <v>52</v>
      </c>
      <c r="AB177" t="s">
        <v>285</v>
      </c>
    </row>
    <row r="178" spans="1:28" x14ac:dyDescent="0.35">
      <c r="A178" t="s">
        <v>79</v>
      </c>
      <c r="B178" t="s">
        <v>19</v>
      </c>
      <c r="C178" t="s">
        <v>20</v>
      </c>
      <c r="D178" t="s">
        <v>11</v>
      </c>
      <c r="E178" t="s">
        <v>14</v>
      </c>
      <c r="F178" t="s">
        <v>15</v>
      </c>
      <c r="G178" t="s">
        <v>15</v>
      </c>
      <c r="H178" t="s">
        <v>15</v>
      </c>
      <c r="I178" t="s">
        <v>242</v>
      </c>
      <c r="J178">
        <v>15</v>
      </c>
      <c r="K178" t="s">
        <v>191</v>
      </c>
      <c r="L178" t="s">
        <v>16</v>
      </c>
      <c r="M178" t="str">
        <f t="shared" si="25"/>
        <v>Control</v>
      </c>
      <c r="N178" t="s">
        <v>82</v>
      </c>
      <c r="O178" t="str">
        <f t="shared" si="26"/>
        <v>Stress</v>
      </c>
      <c r="R178" t="s">
        <v>193</v>
      </c>
      <c r="S178" t="s">
        <v>29</v>
      </c>
      <c r="T178" t="s">
        <v>31</v>
      </c>
      <c r="U178" t="s">
        <v>211</v>
      </c>
      <c r="W178" s="1">
        <f>[24]Mu_etal_2006_Fig1a!B7</f>
        <v>7.5773195876288597E-8</v>
      </c>
      <c r="Z178"/>
      <c r="AA178" t="s">
        <v>52</v>
      </c>
      <c r="AB178" t="s">
        <v>285</v>
      </c>
    </row>
    <row r="179" spans="1:28" x14ac:dyDescent="0.35">
      <c r="A179" t="s">
        <v>177</v>
      </c>
      <c r="B179" t="s">
        <v>178</v>
      </c>
      <c r="C179" t="s">
        <v>10</v>
      </c>
      <c r="D179" t="s">
        <v>11</v>
      </c>
      <c r="E179" t="s">
        <v>12</v>
      </c>
      <c r="F179" t="s">
        <v>13</v>
      </c>
      <c r="G179" t="s">
        <v>13</v>
      </c>
      <c r="H179" t="s">
        <v>13</v>
      </c>
      <c r="I179" t="s">
        <v>242</v>
      </c>
      <c r="J179">
        <f>15+AVERAGE(21,27)</f>
        <v>39</v>
      </c>
      <c r="K179" t="s">
        <v>175</v>
      </c>
      <c r="L179" t="s">
        <v>16</v>
      </c>
      <c r="M179" t="str">
        <f t="shared" si="25"/>
        <v>Control</v>
      </c>
      <c r="R179" t="s">
        <v>193</v>
      </c>
      <c r="S179" t="s">
        <v>44</v>
      </c>
      <c r="T179" t="s">
        <v>31</v>
      </c>
      <c r="U179" t="s">
        <v>211</v>
      </c>
      <c r="W179" s="1">
        <v>5.2000000000000002E-8</v>
      </c>
      <c r="Y179">
        <f>+AVERAGE(10,14)</f>
        <v>12</v>
      </c>
      <c r="Z179"/>
      <c r="AA179" t="s">
        <v>21</v>
      </c>
      <c r="AB179" t="s">
        <v>285</v>
      </c>
    </row>
    <row r="180" spans="1:28" x14ac:dyDescent="0.35">
      <c r="A180" t="s">
        <v>177</v>
      </c>
      <c r="B180" t="s">
        <v>178</v>
      </c>
      <c r="C180" t="s">
        <v>10</v>
      </c>
      <c r="D180" t="s">
        <v>11</v>
      </c>
      <c r="E180" t="s">
        <v>12</v>
      </c>
      <c r="F180" t="s">
        <v>13</v>
      </c>
      <c r="G180" t="s">
        <v>13</v>
      </c>
      <c r="H180" t="s">
        <v>13</v>
      </c>
      <c r="I180" t="s">
        <v>242</v>
      </c>
      <c r="J180">
        <f t="shared" ref="J180:J186" si="27">15+AVERAGE(21,27)</f>
        <v>39</v>
      </c>
      <c r="K180" t="s">
        <v>175</v>
      </c>
      <c r="L180" t="s">
        <v>176</v>
      </c>
      <c r="M180" t="str">
        <f t="shared" si="25"/>
        <v>Stress</v>
      </c>
      <c r="R180" t="s">
        <v>193</v>
      </c>
      <c r="S180" t="s">
        <v>44</v>
      </c>
      <c r="T180" t="s">
        <v>31</v>
      </c>
      <c r="U180" t="s">
        <v>211</v>
      </c>
      <c r="W180" s="1">
        <v>5.5999999999999999E-8</v>
      </c>
      <c r="Y180">
        <f t="shared" ref="Y180:Y186" si="28">+AVERAGE(10,14)</f>
        <v>12</v>
      </c>
      <c r="Z180"/>
      <c r="AA180" t="s">
        <v>21</v>
      </c>
      <c r="AB180" t="s">
        <v>285</v>
      </c>
    </row>
    <row r="181" spans="1:28" x14ac:dyDescent="0.35">
      <c r="A181" t="s">
        <v>177</v>
      </c>
      <c r="B181" t="s">
        <v>42</v>
      </c>
      <c r="C181" t="s">
        <v>43</v>
      </c>
      <c r="D181" t="s">
        <v>11</v>
      </c>
      <c r="E181" t="s">
        <v>12</v>
      </c>
      <c r="F181" t="s">
        <v>13</v>
      </c>
      <c r="G181" t="s">
        <v>13</v>
      </c>
      <c r="H181" t="s">
        <v>13</v>
      </c>
      <c r="I181" t="s">
        <v>242</v>
      </c>
      <c r="J181">
        <f t="shared" si="27"/>
        <v>39</v>
      </c>
      <c r="K181" t="s">
        <v>175</v>
      </c>
      <c r="L181" t="s">
        <v>16</v>
      </c>
      <c r="M181" t="str">
        <f t="shared" si="25"/>
        <v>Control</v>
      </c>
      <c r="R181" t="s">
        <v>193</v>
      </c>
      <c r="S181" t="s">
        <v>44</v>
      </c>
      <c r="T181" t="s">
        <v>31</v>
      </c>
      <c r="U181" t="s">
        <v>211</v>
      </c>
      <c r="W181" s="1">
        <v>9.3000000000000012E-8</v>
      </c>
      <c r="Y181">
        <f t="shared" si="28"/>
        <v>12</v>
      </c>
      <c r="Z181"/>
      <c r="AA181" t="s">
        <v>21</v>
      </c>
      <c r="AB181" t="s">
        <v>285</v>
      </c>
    </row>
    <row r="182" spans="1:28" x14ac:dyDescent="0.35">
      <c r="A182" t="s">
        <v>177</v>
      </c>
      <c r="B182" t="s">
        <v>42</v>
      </c>
      <c r="C182" t="s">
        <v>43</v>
      </c>
      <c r="D182" t="s">
        <v>11</v>
      </c>
      <c r="E182" t="s">
        <v>12</v>
      </c>
      <c r="F182" t="s">
        <v>13</v>
      </c>
      <c r="G182" t="s">
        <v>13</v>
      </c>
      <c r="H182" t="s">
        <v>13</v>
      </c>
      <c r="I182" t="s">
        <v>242</v>
      </c>
      <c r="J182">
        <f t="shared" si="27"/>
        <v>39</v>
      </c>
      <c r="K182" t="s">
        <v>175</v>
      </c>
      <c r="L182" t="s">
        <v>176</v>
      </c>
      <c r="M182" t="str">
        <f t="shared" si="25"/>
        <v>Stress</v>
      </c>
      <c r="R182" t="s">
        <v>193</v>
      </c>
      <c r="S182" t="s">
        <v>44</v>
      </c>
      <c r="T182" t="s">
        <v>31</v>
      </c>
      <c r="U182" t="s">
        <v>211</v>
      </c>
      <c r="W182" s="1">
        <v>8.6000000000000002E-8</v>
      </c>
      <c r="Y182">
        <f t="shared" si="28"/>
        <v>12</v>
      </c>
      <c r="Z182"/>
      <c r="AA182" t="s">
        <v>21</v>
      </c>
      <c r="AB182" t="s">
        <v>285</v>
      </c>
    </row>
    <row r="183" spans="1:28" x14ac:dyDescent="0.35">
      <c r="A183" t="s">
        <v>177</v>
      </c>
      <c r="B183" t="s">
        <v>178</v>
      </c>
      <c r="C183" t="s">
        <v>10</v>
      </c>
      <c r="D183" t="s">
        <v>11</v>
      </c>
      <c r="E183" t="s">
        <v>12</v>
      </c>
      <c r="F183" t="s">
        <v>13</v>
      </c>
      <c r="G183" t="s">
        <v>13</v>
      </c>
      <c r="H183" t="s">
        <v>13</v>
      </c>
      <c r="I183" t="s">
        <v>242</v>
      </c>
      <c r="J183">
        <f t="shared" si="27"/>
        <v>39</v>
      </c>
      <c r="K183" t="s">
        <v>175</v>
      </c>
      <c r="L183" t="s">
        <v>16</v>
      </c>
      <c r="M183" t="str">
        <f t="shared" si="25"/>
        <v>Control</v>
      </c>
      <c r="R183" t="s">
        <v>193</v>
      </c>
      <c r="S183" t="s">
        <v>44</v>
      </c>
      <c r="T183" t="s">
        <v>31</v>
      </c>
      <c r="U183" t="s">
        <v>212</v>
      </c>
      <c r="W183" s="1">
        <v>1E-8</v>
      </c>
      <c r="Y183">
        <f t="shared" si="28"/>
        <v>12</v>
      </c>
      <c r="Z183"/>
      <c r="AA183" t="s">
        <v>21</v>
      </c>
      <c r="AB183" t="s">
        <v>285</v>
      </c>
    </row>
    <row r="184" spans="1:28" x14ac:dyDescent="0.35">
      <c r="A184" t="s">
        <v>177</v>
      </c>
      <c r="B184" t="s">
        <v>178</v>
      </c>
      <c r="C184" t="s">
        <v>10</v>
      </c>
      <c r="D184" t="s">
        <v>11</v>
      </c>
      <c r="E184" t="s">
        <v>12</v>
      </c>
      <c r="F184" t="s">
        <v>13</v>
      </c>
      <c r="G184" t="s">
        <v>13</v>
      </c>
      <c r="H184" t="s">
        <v>13</v>
      </c>
      <c r="I184" t="s">
        <v>242</v>
      </c>
      <c r="J184">
        <f t="shared" si="27"/>
        <v>39</v>
      </c>
      <c r="K184" t="s">
        <v>175</v>
      </c>
      <c r="L184" t="s">
        <v>176</v>
      </c>
      <c r="M184" t="str">
        <f t="shared" si="25"/>
        <v>Stress</v>
      </c>
      <c r="R184" t="s">
        <v>193</v>
      </c>
      <c r="S184" t="s">
        <v>44</v>
      </c>
      <c r="T184" t="s">
        <v>31</v>
      </c>
      <c r="U184" t="s">
        <v>212</v>
      </c>
      <c r="W184" s="1">
        <v>1.4E-8</v>
      </c>
      <c r="Y184">
        <f t="shared" si="28"/>
        <v>12</v>
      </c>
      <c r="Z184"/>
      <c r="AA184" t="s">
        <v>21</v>
      </c>
      <c r="AB184" t="s">
        <v>285</v>
      </c>
    </row>
    <row r="185" spans="1:28" x14ac:dyDescent="0.35">
      <c r="A185" t="s">
        <v>177</v>
      </c>
      <c r="B185" t="s">
        <v>42</v>
      </c>
      <c r="C185" t="s">
        <v>43</v>
      </c>
      <c r="D185" t="s">
        <v>11</v>
      </c>
      <c r="E185" t="s">
        <v>12</v>
      </c>
      <c r="F185" t="s">
        <v>13</v>
      </c>
      <c r="G185" t="s">
        <v>13</v>
      </c>
      <c r="H185" t="s">
        <v>13</v>
      </c>
      <c r="I185" t="s">
        <v>242</v>
      </c>
      <c r="J185">
        <f t="shared" si="27"/>
        <v>39</v>
      </c>
      <c r="K185" t="s">
        <v>175</v>
      </c>
      <c r="L185" t="s">
        <v>16</v>
      </c>
      <c r="M185" t="str">
        <f t="shared" si="25"/>
        <v>Control</v>
      </c>
      <c r="R185" t="s">
        <v>193</v>
      </c>
      <c r="S185" t="s">
        <v>44</v>
      </c>
      <c r="T185" t="s">
        <v>31</v>
      </c>
      <c r="U185" t="s">
        <v>212</v>
      </c>
      <c r="W185" s="1">
        <v>1.5000000000000002E-8</v>
      </c>
      <c r="Y185">
        <f t="shared" si="28"/>
        <v>12</v>
      </c>
      <c r="Z185"/>
      <c r="AA185" t="s">
        <v>21</v>
      </c>
      <c r="AB185" t="s">
        <v>285</v>
      </c>
    </row>
    <row r="186" spans="1:28" x14ac:dyDescent="0.35">
      <c r="A186" t="s">
        <v>177</v>
      </c>
      <c r="B186" t="s">
        <v>42</v>
      </c>
      <c r="C186" t="s">
        <v>43</v>
      </c>
      <c r="D186" t="s">
        <v>11</v>
      </c>
      <c r="E186" t="s">
        <v>12</v>
      </c>
      <c r="F186" t="s">
        <v>13</v>
      </c>
      <c r="G186" t="s">
        <v>13</v>
      </c>
      <c r="H186" t="s">
        <v>13</v>
      </c>
      <c r="I186" t="s">
        <v>242</v>
      </c>
      <c r="J186">
        <f t="shared" si="27"/>
        <v>39</v>
      </c>
      <c r="K186" t="s">
        <v>175</v>
      </c>
      <c r="L186" t="s">
        <v>176</v>
      </c>
      <c r="M186" t="str">
        <f t="shared" si="25"/>
        <v>Stress</v>
      </c>
      <c r="R186" t="s">
        <v>193</v>
      </c>
      <c r="S186" t="s">
        <v>44</v>
      </c>
      <c r="T186" t="s">
        <v>31</v>
      </c>
      <c r="U186" t="s">
        <v>212</v>
      </c>
      <c r="W186" s="1">
        <v>1E-8</v>
      </c>
      <c r="Y186">
        <f t="shared" si="28"/>
        <v>12</v>
      </c>
      <c r="Z186"/>
      <c r="AA186" t="s">
        <v>21</v>
      </c>
      <c r="AB186" t="s">
        <v>285</v>
      </c>
    </row>
    <row r="187" spans="1:28" x14ac:dyDescent="0.35">
      <c r="A187" t="s">
        <v>96</v>
      </c>
      <c r="B187" t="s">
        <v>89</v>
      </c>
      <c r="C187" t="s">
        <v>91</v>
      </c>
      <c r="D187" t="s">
        <v>92</v>
      </c>
      <c r="E187" t="s">
        <v>12</v>
      </c>
      <c r="F187" t="s">
        <v>216</v>
      </c>
      <c r="G187" t="s">
        <v>216</v>
      </c>
      <c r="H187" t="s">
        <v>290</v>
      </c>
      <c r="I187" t="s">
        <v>294</v>
      </c>
      <c r="J187">
        <f>1*30</f>
        <v>30</v>
      </c>
      <c r="K187" t="s">
        <v>281</v>
      </c>
      <c r="L187" t="s">
        <v>281</v>
      </c>
      <c r="M187" t="s">
        <v>281</v>
      </c>
      <c r="R187" t="s">
        <v>193</v>
      </c>
      <c r="S187" t="s">
        <v>95</v>
      </c>
      <c r="T187" t="s">
        <v>31</v>
      </c>
      <c r="U187" t="s">
        <v>211</v>
      </c>
      <c r="W187" s="1">
        <v>9.9999999999999995E-7</v>
      </c>
      <c r="Z187"/>
      <c r="AA187" t="s">
        <v>286</v>
      </c>
      <c r="AB187" t="s">
        <v>284</v>
      </c>
    </row>
    <row r="188" spans="1:28" x14ac:dyDescent="0.35">
      <c r="A188" t="s">
        <v>97</v>
      </c>
      <c r="B188" t="s">
        <v>42</v>
      </c>
      <c r="C188" t="s">
        <v>43</v>
      </c>
      <c r="D188" t="s">
        <v>11</v>
      </c>
      <c r="E188" t="s">
        <v>12</v>
      </c>
      <c r="F188" t="s">
        <v>13</v>
      </c>
      <c r="G188" t="s">
        <v>13</v>
      </c>
      <c r="H188" t="s">
        <v>13</v>
      </c>
      <c r="I188" t="s">
        <v>242</v>
      </c>
      <c r="J188">
        <v>35</v>
      </c>
      <c r="K188" t="s">
        <v>271</v>
      </c>
      <c r="L188" t="s">
        <v>98</v>
      </c>
      <c r="M188" t="s">
        <v>243</v>
      </c>
      <c r="R188" t="s">
        <v>193</v>
      </c>
      <c r="S188" t="s">
        <v>25</v>
      </c>
      <c r="T188" t="s">
        <v>31</v>
      </c>
      <c r="U188" t="s">
        <v>211</v>
      </c>
      <c r="W188" s="1">
        <v>2.2400000000000002E-7</v>
      </c>
      <c r="AA188" t="s">
        <v>52</v>
      </c>
      <c r="AB188" t="s">
        <v>285</v>
      </c>
    </row>
    <row r="189" spans="1:28" x14ac:dyDescent="0.35">
      <c r="A189" t="s">
        <v>97</v>
      </c>
      <c r="B189" t="s">
        <v>42</v>
      </c>
      <c r="C189" t="s">
        <v>43</v>
      </c>
      <c r="D189" t="s">
        <v>11</v>
      </c>
      <c r="E189" t="s">
        <v>12</v>
      </c>
      <c r="F189" t="s">
        <v>13</v>
      </c>
      <c r="G189" t="s">
        <v>13</v>
      </c>
      <c r="H189" t="s">
        <v>13</v>
      </c>
      <c r="I189" t="s">
        <v>242</v>
      </c>
      <c r="J189">
        <v>35</v>
      </c>
      <c r="K189" t="s">
        <v>271</v>
      </c>
      <c r="L189" t="s">
        <v>99</v>
      </c>
      <c r="M189" t="s">
        <v>243</v>
      </c>
      <c r="R189" t="s">
        <v>193</v>
      </c>
      <c r="S189" t="s">
        <v>25</v>
      </c>
      <c r="T189" t="s">
        <v>31</v>
      </c>
      <c r="U189" t="s">
        <v>211</v>
      </c>
      <c r="W189" s="1">
        <v>3.3700000000000001E-7</v>
      </c>
      <c r="AA189" t="s">
        <v>52</v>
      </c>
      <c r="AB189" t="s">
        <v>285</v>
      </c>
    </row>
    <row r="190" spans="1:28" x14ac:dyDescent="0.35">
      <c r="A190" t="s">
        <v>97</v>
      </c>
      <c r="B190" t="s">
        <v>42</v>
      </c>
      <c r="C190" t="s">
        <v>43</v>
      </c>
      <c r="D190" t="s">
        <v>11</v>
      </c>
      <c r="E190" t="s">
        <v>12</v>
      </c>
      <c r="F190" t="s">
        <v>13</v>
      </c>
      <c r="G190" t="s">
        <v>13</v>
      </c>
      <c r="H190" t="s">
        <v>13</v>
      </c>
      <c r="I190" t="s">
        <v>242</v>
      </c>
      <c r="J190">
        <v>35</v>
      </c>
      <c r="K190" t="s">
        <v>271</v>
      </c>
      <c r="L190" t="s">
        <v>100</v>
      </c>
      <c r="M190" t="s">
        <v>243</v>
      </c>
      <c r="R190" t="s">
        <v>193</v>
      </c>
      <c r="S190" t="s">
        <v>25</v>
      </c>
      <c r="T190" t="s">
        <v>31</v>
      </c>
      <c r="U190" t="s">
        <v>211</v>
      </c>
      <c r="W190" s="1">
        <v>2.6399999999999998E-7</v>
      </c>
      <c r="AA190" t="s">
        <v>52</v>
      </c>
      <c r="AB190" t="s">
        <v>285</v>
      </c>
    </row>
    <row r="191" spans="1:28" x14ac:dyDescent="0.35">
      <c r="A191" t="s">
        <v>97</v>
      </c>
      <c r="B191" t="s">
        <v>42</v>
      </c>
      <c r="C191" t="s">
        <v>43</v>
      </c>
      <c r="D191" t="s">
        <v>11</v>
      </c>
      <c r="E191" t="s">
        <v>12</v>
      </c>
      <c r="F191" t="s">
        <v>13</v>
      </c>
      <c r="G191" t="s">
        <v>13</v>
      </c>
      <c r="H191" t="s">
        <v>13</v>
      </c>
      <c r="I191" t="s">
        <v>242</v>
      </c>
      <c r="J191">
        <v>35</v>
      </c>
      <c r="K191" t="s">
        <v>271</v>
      </c>
      <c r="L191" t="s">
        <v>101</v>
      </c>
      <c r="M191" t="s">
        <v>243</v>
      </c>
      <c r="R191" t="s">
        <v>193</v>
      </c>
      <c r="S191" t="s">
        <v>25</v>
      </c>
      <c r="T191" t="s">
        <v>31</v>
      </c>
      <c r="U191" t="s">
        <v>211</v>
      </c>
      <c r="W191" s="1">
        <v>5.3899999999999994E-7</v>
      </c>
      <c r="AA191" t="s">
        <v>52</v>
      </c>
      <c r="AB191" t="s">
        <v>285</v>
      </c>
    </row>
    <row r="192" spans="1:28" x14ac:dyDescent="0.35">
      <c r="A192" t="s">
        <v>97</v>
      </c>
      <c r="B192" t="s">
        <v>42</v>
      </c>
      <c r="C192" t="s">
        <v>43</v>
      </c>
      <c r="D192" t="s">
        <v>11</v>
      </c>
      <c r="E192" t="s">
        <v>12</v>
      </c>
      <c r="F192" t="s">
        <v>13</v>
      </c>
      <c r="G192" t="s">
        <v>13</v>
      </c>
      <c r="H192" t="s">
        <v>13</v>
      </c>
      <c r="I192" t="s">
        <v>242</v>
      </c>
      <c r="J192">
        <v>35</v>
      </c>
      <c r="K192" t="s">
        <v>271</v>
      </c>
      <c r="L192" t="s">
        <v>102</v>
      </c>
      <c r="M192" t="s">
        <v>243</v>
      </c>
      <c r="R192" t="s">
        <v>193</v>
      </c>
      <c r="S192" t="s">
        <v>25</v>
      </c>
      <c r="T192" t="s">
        <v>31</v>
      </c>
      <c r="U192" t="s">
        <v>211</v>
      </c>
      <c r="W192" s="1">
        <v>5.2099999999999997E-7</v>
      </c>
      <c r="AA192" t="s">
        <v>52</v>
      </c>
      <c r="AB192" t="s">
        <v>285</v>
      </c>
    </row>
    <row r="193" spans="1:28" x14ac:dyDescent="0.35">
      <c r="A193" t="s">
        <v>97</v>
      </c>
      <c r="B193" t="s">
        <v>42</v>
      </c>
      <c r="C193" t="s">
        <v>43</v>
      </c>
      <c r="D193" t="s">
        <v>11</v>
      </c>
      <c r="E193" t="s">
        <v>12</v>
      </c>
      <c r="F193" t="s">
        <v>13</v>
      </c>
      <c r="G193" t="s">
        <v>13</v>
      </c>
      <c r="H193" t="s">
        <v>13</v>
      </c>
      <c r="I193" t="s">
        <v>242</v>
      </c>
      <c r="J193">
        <v>35</v>
      </c>
      <c r="K193" t="s">
        <v>271</v>
      </c>
      <c r="L193" t="s">
        <v>103</v>
      </c>
      <c r="M193" t="s">
        <v>243</v>
      </c>
      <c r="R193" t="s">
        <v>193</v>
      </c>
      <c r="S193" t="s">
        <v>25</v>
      </c>
      <c r="T193" t="s">
        <v>31</v>
      </c>
      <c r="U193" t="s">
        <v>211</v>
      </c>
      <c r="W193" s="1">
        <v>5.9100000000000004E-7</v>
      </c>
      <c r="AA193" t="s">
        <v>52</v>
      </c>
      <c r="AB193" t="s">
        <v>285</v>
      </c>
    </row>
    <row r="194" spans="1:28" x14ac:dyDescent="0.35">
      <c r="A194" t="s">
        <v>104</v>
      </c>
      <c r="B194" t="s">
        <v>105</v>
      </c>
      <c r="C194" t="s">
        <v>106</v>
      </c>
      <c r="D194" t="s">
        <v>107</v>
      </c>
      <c r="E194" t="s">
        <v>108</v>
      </c>
      <c r="F194" t="s">
        <v>109</v>
      </c>
      <c r="G194" t="s">
        <v>109</v>
      </c>
      <c r="H194" t="s">
        <v>109</v>
      </c>
      <c r="I194" t="s">
        <v>109</v>
      </c>
      <c r="J194">
        <v>45</v>
      </c>
      <c r="K194" t="s">
        <v>123</v>
      </c>
      <c r="L194" t="s">
        <v>16</v>
      </c>
      <c r="M194" t="str">
        <f t="shared" ref="M194:M211" si="29">+IF(L194="Control","Control","Stress")</f>
        <v>Control</v>
      </c>
      <c r="N194" t="s">
        <v>16</v>
      </c>
      <c r="O194" t="str">
        <f t="shared" ref="O194:O211" si="30">+IF(N194="Control", "Control", "Stress")</f>
        <v>Control</v>
      </c>
      <c r="R194" t="s">
        <v>193</v>
      </c>
      <c r="S194" t="s">
        <v>112</v>
      </c>
      <c r="T194" t="s">
        <v>26</v>
      </c>
      <c r="U194" t="s">
        <v>211</v>
      </c>
      <c r="W194" s="1">
        <f>[25]North_etal_2004_Fig2!B2</f>
        <v>1.60553633217993E-7</v>
      </c>
      <c r="X194" s="2"/>
      <c r="Y194">
        <f>+AVERAGE(30,35)</f>
        <v>32.5</v>
      </c>
      <c r="Z194">
        <v>3.6</v>
      </c>
      <c r="AA194" t="s">
        <v>111</v>
      </c>
      <c r="AB194" t="s">
        <v>285</v>
      </c>
    </row>
    <row r="195" spans="1:28" x14ac:dyDescent="0.35">
      <c r="A195" t="s">
        <v>104</v>
      </c>
      <c r="B195" t="s">
        <v>105</v>
      </c>
      <c r="C195" t="s">
        <v>106</v>
      </c>
      <c r="D195" t="s">
        <v>107</v>
      </c>
      <c r="E195" t="s">
        <v>108</v>
      </c>
      <c r="F195" t="s">
        <v>109</v>
      </c>
      <c r="G195" t="s">
        <v>109</v>
      </c>
      <c r="H195" t="s">
        <v>109</v>
      </c>
      <c r="I195" t="s">
        <v>109</v>
      </c>
      <c r="J195">
        <v>45</v>
      </c>
      <c r="K195" t="s">
        <v>123</v>
      </c>
      <c r="L195" t="s">
        <v>16</v>
      </c>
      <c r="M195" t="str">
        <f t="shared" si="29"/>
        <v>Control</v>
      </c>
      <c r="N195" t="s">
        <v>238</v>
      </c>
      <c r="O195" t="str">
        <f t="shared" si="30"/>
        <v>Stress</v>
      </c>
      <c r="R195" t="s">
        <v>193</v>
      </c>
      <c r="S195" t="s">
        <v>112</v>
      </c>
      <c r="T195" t="s">
        <v>26</v>
      </c>
      <c r="U195" t="s">
        <v>211</v>
      </c>
      <c r="W195" s="1">
        <f>[25]North_etal_2004_Fig2!B3</f>
        <v>8.0968858131487998E-8</v>
      </c>
      <c r="X195" s="2"/>
      <c r="Y195">
        <f t="shared" ref="Y195:Y211" si="31">+AVERAGE(30,35)</f>
        <v>32.5</v>
      </c>
      <c r="Z195">
        <v>3.6</v>
      </c>
      <c r="AA195" t="s">
        <v>111</v>
      </c>
      <c r="AB195" t="s">
        <v>285</v>
      </c>
    </row>
    <row r="196" spans="1:28" x14ac:dyDescent="0.35">
      <c r="A196" t="s">
        <v>104</v>
      </c>
      <c r="B196" t="s">
        <v>105</v>
      </c>
      <c r="C196" t="s">
        <v>106</v>
      </c>
      <c r="D196" t="s">
        <v>107</v>
      </c>
      <c r="E196" t="s">
        <v>108</v>
      </c>
      <c r="F196" t="s">
        <v>109</v>
      </c>
      <c r="G196" t="s">
        <v>109</v>
      </c>
      <c r="H196" t="s">
        <v>109</v>
      </c>
      <c r="I196" t="s">
        <v>109</v>
      </c>
      <c r="J196">
        <v>45</v>
      </c>
      <c r="K196" t="s">
        <v>123</v>
      </c>
      <c r="L196" t="s">
        <v>113</v>
      </c>
      <c r="M196" t="str">
        <f t="shared" si="29"/>
        <v>Stress</v>
      </c>
      <c r="N196" t="s">
        <v>16</v>
      </c>
      <c r="O196" t="str">
        <f t="shared" si="30"/>
        <v>Control</v>
      </c>
      <c r="R196" t="s">
        <v>193</v>
      </c>
      <c r="S196" t="s">
        <v>112</v>
      </c>
      <c r="T196" t="s">
        <v>26</v>
      </c>
      <c r="U196" t="s">
        <v>211</v>
      </c>
      <c r="W196" s="1">
        <f>[25]North_etal_2004_Fig2!B4</f>
        <v>6.5051903114186895E-8</v>
      </c>
      <c r="X196" s="2"/>
      <c r="Y196">
        <f t="shared" si="31"/>
        <v>32.5</v>
      </c>
      <c r="Z196">
        <v>3.6</v>
      </c>
      <c r="AA196" t="s">
        <v>111</v>
      </c>
      <c r="AB196" t="s">
        <v>285</v>
      </c>
    </row>
    <row r="197" spans="1:28" x14ac:dyDescent="0.35">
      <c r="A197" t="s">
        <v>104</v>
      </c>
      <c r="B197" t="s">
        <v>105</v>
      </c>
      <c r="C197" t="s">
        <v>106</v>
      </c>
      <c r="D197" t="s">
        <v>107</v>
      </c>
      <c r="E197" t="s">
        <v>108</v>
      </c>
      <c r="F197" t="s">
        <v>109</v>
      </c>
      <c r="G197" t="s">
        <v>109</v>
      </c>
      <c r="H197" t="s">
        <v>109</v>
      </c>
      <c r="I197" t="s">
        <v>109</v>
      </c>
      <c r="J197">
        <v>45</v>
      </c>
      <c r="K197" t="s">
        <v>123</v>
      </c>
      <c r="L197" t="s">
        <v>113</v>
      </c>
      <c r="M197" t="str">
        <f t="shared" si="29"/>
        <v>Stress</v>
      </c>
      <c r="N197" t="s">
        <v>238</v>
      </c>
      <c r="O197" t="str">
        <f t="shared" si="30"/>
        <v>Stress</v>
      </c>
      <c r="R197" t="s">
        <v>193</v>
      </c>
      <c r="S197" t="s">
        <v>112</v>
      </c>
      <c r="T197" t="s">
        <v>26</v>
      </c>
      <c r="U197" t="s">
        <v>211</v>
      </c>
      <c r="W197" s="1">
        <f>[25]North_etal_2004_Fig2!B5</f>
        <v>7.9584775086505197E-8</v>
      </c>
      <c r="X197" s="2"/>
      <c r="Y197">
        <f t="shared" si="31"/>
        <v>32.5</v>
      </c>
      <c r="Z197">
        <v>3.6</v>
      </c>
      <c r="AA197" t="s">
        <v>111</v>
      </c>
      <c r="AB197" t="s">
        <v>285</v>
      </c>
    </row>
    <row r="198" spans="1:28" x14ac:dyDescent="0.35">
      <c r="A198" t="s">
        <v>104</v>
      </c>
      <c r="B198" t="s">
        <v>105</v>
      </c>
      <c r="C198" t="s">
        <v>106</v>
      </c>
      <c r="D198" t="s">
        <v>107</v>
      </c>
      <c r="E198" t="s">
        <v>108</v>
      </c>
      <c r="F198" t="s">
        <v>109</v>
      </c>
      <c r="G198" t="s">
        <v>109</v>
      </c>
      <c r="H198" t="s">
        <v>109</v>
      </c>
      <c r="I198" t="s">
        <v>109</v>
      </c>
      <c r="J198">
        <v>45</v>
      </c>
      <c r="K198" t="s">
        <v>123</v>
      </c>
      <c r="L198" t="s">
        <v>16</v>
      </c>
      <c r="M198" t="str">
        <f t="shared" si="29"/>
        <v>Control</v>
      </c>
      <c r="N198" t="s">
        <v>16</v>
      </c>
      <c r="O198" t="str">
        <f t="shared" si="30"/>
        <v>Control</v>
      </c>
      <c r="R198" t="s">
        <v>193</v>
      </c>
      <c r="S198" t="s">
        <v>112</v>
      </c>
      <c r="T198" t="s">
        <v>110</v>
      </c>
      <c r="U198" t="s">
        <v>211</v>
      </c>
      <c r="W198" s="1">
        <f>[25]North_etal_2004_Fig2!B8</f>
        <v>1.32179930795847E-7</v>
      </c>
      <c r="X198" s="2"/>
      <c r="Y198">
        <f t="shared" si="31"/>
        <v>32.5</v>
      </c>
      <c r="Z198">
        <v>3.6</v>
      </c>
      <c r="AA198" t="s">
        <v>111</v>
      </c>
      <c r="AB198" t="s">
        <v>285</v>
      </c>
    </row>
    <row r="199" spans="1:28" x14ac:dyDescent="0.35">
      <c r="A199" t="s">
        <v>104</v>
      </c>
      <c r="B199" t="s">
        <v>105</v>
      </c>
      <c r="C199" t="s">
        <v>106</v>
      </c>
      <c r="D199" t="s">
        <v>107</v>
      </c>
      <c r="E199" t="s">
        <v>108</v>
      </c>
      <c r="F199" t="s">
        <v>109</v>
      </c>
      <c r="G199" t="s">
        <v>109</v>
      </c>
      <c r="H199" t="s">
        <v>109</v>
      </c>
      <c r="I199" t="s">
        <v>109</v>
      </c>
      <c r="J199">
        <v>45</v>
      </c>
      <c r="K199" t="s">
        <v>123</v>
      </c>
      <c r="L199" t="s">
        <v>16</v>
      </c>
      <c r="M199" t="str">
        <f t="shared" si="29"/>
        <v>Control</v>
      </c>
      <c r="N199" t="s">
        <v>238</v>
      </c>
      <c r="O199" t="str">
        <f t="shared" si="30"/>
        <v>Stress</v>
      </c>
      <c r="R199" t="s">
        <v>193</v>
      </c>
      <c r="S199" t="s">
        <v>112</v>
      </c>
      <c r="T199" t="s">
        <v>110</v>
      </c>
      <c r="U199" t="s">
        <v>211</v>
      </c>
      <c r="W199" s="1">
        <f>[25]North_etal_2004_Fig2!B9</f>
        <v>1.51557093425605E-7</v>
      </c>
      <c r="X199" s="2"/>
      <c r="Y199">
        <f t="shared" si="31"/>
        <v>32.5</v>
      </c>
      <c r="Z199">
        <v>3.6</v>
      </c>
      <c r="AA199" t="s">
        <v>111</v>
      </c>
      <c r="AB199" t="s">
        <v>285</v>
      </c>
    </row>
    <row r="200" spans="1:28" x14ac:dyDescent="0.35">
      <c r="A200" t="s">
        <v>104</v>
      </c>
      <c r="B200" t="s">
        <v>105</v>
      </c>
      <c r="C200" t="s">
        <v>106</v>
      </c>
      <c r="D200" t="s">
        <v>107</v>
      </c>
      <c r="E200" t="s">
        <v>108</v>
      </c>
      <c r="F200" t="s">
        <v>109</v>
      </c>
      <c r="G200" t="s">
        <v>109</v>
      </c>
      <c r="H200" t="s">
        <v>109</v>
      </c>
      <c r="I200" t="s">
        <v>109</v>
      </c>
      <c r="J200">
        <v>45</v>
      </c>
      <c r="K200" t="s">
        <v>123</v>
      </c>
      <c r="L200" t="s">
        <v>113</v>
      </c>
      <c r="M200" t="str">
        <f t="shared" si="29"/>
        <v>Stress</v>
      </c>
      <c r="N200" t="s">
        <v>16</v>
      </c>
      <c r="O200" t="str">
        <f t="shared" si="30"/>
        <v>Control</v>
      </c>
      <c r="R200" t="s">
        <v>193</v>
      </c>
      <c r="S200" t="s">
        <v>112</v>
      </c>
      <c r="T200" t="s">
        <v>110</v>
      </c>
      <c r="U200" t="s">
        <v>211</v>
      </c>
      <c r="W200" s="1">
        <f>[25]North_etal_2004_Fig2!B10</f>
        <v>6.3667820069204094E-8</v>
      </c>
      <c r="X200" s="2"/>
      <c r="Y200">
        <f t="shared" si="31"/>
        <v>32.5</v>
      </c>
      <c r="Z200">
        <v>3.6</v>
      </c>
      <c r="AA200" t="s">
        <v>111</v>
      </c>
      <c r="AB200" t="s">
        <v>285</v>
      </c>
    </row>
    <row r="201" spans="1:28" x14ac:dyDescent="0.35">
      <c r="A201" t="s">
        <v>104</v>
      </c>
      <c r="B201" t="s">
        <v>105</v>
      </c>
      <c r="C201" t="s">
        <v>106</v>
      </c>
      <c r="D201" t="s">
        <v>107</v>
      </c>
      <c r="E201" t="s">
        <v>108</v>
      </c>
      <c r="F201" t="s">
        <v>109</v>
      </c>
      <c r="G201" t="s">
        <v>109</v>
      </c>
      <c r="H201" t="s">
        <v>109</v>
      </c>
      <c r="I201" t="s">
        <v>109</v>
      </c>
      <c r="J201">
        <v>45</v>
      </c>
      <c r="K201" t="s">
        <v>123</v>
      </c>
      <c r="L201" t="s">
        <v>113</v>
      </c>
      <c r="M201" t="str">
        <f t="shared" si="29"/>
        <v>Stress</v>
      </c>
      <c r="N201" t="s">
        <v>238</v>
      </c>
      <c r="O201" t="str">
        <f t="shared" si="30"/>
        <v>Stress</v>
      </c>
      <c r="R201" t="s">
        <v>193</v>
      </c>
      <c r="S201" t="s">
        <v>112</v>
      </c>
      <c r="T201" t="s">
        <v>110</v>
      </c>
      <c r="U201" t="s">
        <v>211</v>
      </c>
      <c r="W201" s="1">
        <f>[25]North_etal_2004_Fig2!B11</f>
        <v>5.2595155709342503E-8</v>
      </c>
      <c r="X201" s="2"/>
      <c r="Y201">
        <f t="shared" si="31"/>
        <v>32.5</v>
      </c>
      <c r="Z201">
        <v>3.6</v>
      </c>
      <c r="AA201" t="s">
        <v>111</v>
      </c>
      <c r="AB201" t="s">
        <v>285</v>
      </c>
    </row>
    <row r="202" spans="1:28" x14ac:dyDescent="0.35">
      <c r="A202" t="s">
        <v>104</v>
      </c>
      <c r="B202" t="s">
        <v>105</v>
      </c>
      <c r="C202" t="s">
        <v>106</v>
      </c>
      <c r="D202" t="s">
        <v>107</v>
      </c>
      <c r="E202" t="s">
        <v>108</v>
      </c>
      <c r="F202" t="s">
        <v>109</v>
      </c>
      <c r="G202" t="s">
        <v>109</v>
      </c>
      <c r="H202" t="s">
        <v>109</v>
      </c>
      <c r="I202" t="s">
        <v>109</v>
      </c>
      <c r="J202">
        <v>45</v>
      </c>
      <c r="K202" t="s">
        <v>123</v>
      </c>
      <c r="L202" t="s">
        <v>16</v>
      </c>
      <c r="M202" t="str">
        <f t="shared" si="29"/>
        <v>Control</v>
      </c>
      <c r="N202" t="s">
        <v>16</v>
      </c>
      <c r="O202" t="str">
        <f t="shared" si="30"/>
        <v>Control</v>
      </c>
      <c r="R202" t="s">
        <v>193</v>
      </c>
      <c r="S202" t="s">
        <v>112</v>
      </c>
      <c r="T202" t="s">
        <v>70</v>
      </c>
      <c r="U202" t="s">
        <v>211</v>
      </c>
      <c r="W202" s="1">
        <f>[25]North_etal_2004_Fig2!B14</f>
        <v>2.36301369863013E-7</v>
      </c>
      <c r="X202" s="2"/>
      <c r="Y202">
        <f t="shared" si="31"/>
        <v>32.5</v>
      </c>
      <c r="Z202">
        <v>3.6</v>
      </c>
      <c r="AA202" t="s">
        <v>111</v>
      </c>
      <c r="AB202" t="s">
        <v>285</v>
      </c>
    </row>
    <row r="203" spans="1:28" x14ac:dyDescent="0.35">
      <c r="A203" t="s">
        <v>104</v>
      </c>
      <c r="B203" t="s">
        <v>105</v>
      </c>
      <c r="C203" t="s">
        <v>106</v>
      </c>
      <c r="D203" t="s">
        <v>107</v>
      </c>
      <c r="E203" t="s">
        <v>108</v>
      </c>
      <c r="F203" t="s">
        <v>109</v>
      </c>
      <c r="G203" t="s">
        <v>109</v>
      </c>
      <c r="H203" t="s">
        <v>109</v>
      </c>
      <c r="I203" t="s">
        <v>109</v>
      </c>
      <c r="J203">
        <v>45</v>
      </c>
      <c r="K203" t="s">
        <v>123</v>
      </c>
      <c r="L203" t="s">
        <v>16</v>
      </c>
      <c r="M203" t="str">
        <f t="shared" si="29"/>
        <v>Control</v>
      </c>
      <c r="N203" t="s">
        <v>238</v>
      </c>
      <c r="O203" t="str">
        <f t="shared" si="30"/>
        <v>Stress</v>
      </c>
      <c r="R203" t="s">
        <v>193</v>
      </c>
      <c r="S203" t="s">
        <v>112</v>
      </c>
      <c r="T203" t="s">
        <v>70</v>
      </c>
      <c r="U203" t="s">
        <v>211</v>
      </c>
      <c r="W203" s="1">
        <f>[25]North_etal_2004_Fig2!B15</f>
        <v>1.52054794520547E-7</v>
      </c>
      <c r="X203" s="2"/>
      <c r="Y203">
        <f t="shared" si="31"/>
        <v>32.5</v>
      </c>
      <c r="Z203">
        <v>3.6</v>
      </c>
      <c r="AA203" t="s">
        <v>111</v>
      </c>
      <c r="AB203" t="s">
        <v>285</v>
      </c>
    </row>
    <row r="204" spans="1:28" x14ac:dyDescent="0.35">
      <c r="A204" t="s">
        <v>104</v>
      </c>
      <c r="B204" t="s">
        <v>105</v>
      </c>
      <c r="C204" t="s">
        <v>106</v>
      </c>
      <c r="D204" t="s">
        <v>107</v>
      </c>
      <c r="E204" t="s">
        <v>108</v>
      </c>
      <c r="F204" t="s">
        <v>109</v>
      </c>
      <c r="G204" t="s">
        <v>109</v>
      </c>
      <c r="H204" t="s">
        <v>109</v>
      </c>
      <c r="I204" t="s">
        <v>109</v>
      </c>
      <c r="J204">
        <v>45</v>
      </c>
      <c r="K204" t="s">
        <v>123</v>
      </c>
      <c r="L204" t="s">
        <v>113</v>
      </c>
      <c r="M204" t="str">
        <f t="shared" si="29"/>
        <v>Stress</v>
      </c>
      <c r="N204" t="s">
        <v>16</v>
      </c>
      <c r="O204" t="str">
        <f t="shared" si="30"/>
        <v>Control</v>
      </c>
      <c r="R204" t="s">
        <v>193</v>
      </c>
      <c r="S204" t="s">
        <v>112</v>
      </c>
      <c r="T204" t="s">
        <v>70</v>
      </c>
      <c r="U204" t="s">
        <v>211</v>
      </c>
      <c r="W204" s="1">
        <f>[25]North_etal_2004_Fig2!B16</f>
        <v>1.7191780821917799E-7</v>
      </c>
      <c r="X204" s="2"/>
      <c r="Y204">
        <f t="shared" si="31"/>
        <v>32.5</v>
      </c>
      <c r="Z204">
        <v>3.6</v>
      </c>
      <c r="AA204" t="s">
        <v>111</v>
      </c>
      <c r="AB204" t="s">
        <v>285</v>
      </c>
    </row>
    <row r="205" spans="1:28" x14ac:dyDescent="0.35">
      <c r="A205" t="s">
        <v>104</v>
      </c>
      <c r="B205" t="s">
        <v>105</v>
      </c>
      <c r="C205" t="s">
        <v>106</v>
      </c>
      <c r="D205" t="s">
        <v>107</v>
      </c>
      <c r="E205" t="s">
        <v>108</v>
      </c>
      <c r="F205" t="s">
        <v>109</v>
      </c>
      <c r="G205" t="s">
        <v>109</v>
      </c>
      <c r="H205" t="s">
        <v>109</v>
      </c>
      <c r="I205" t="s">
        <v>109</v>
      </c>
      <c r="J205">
        <v>45</v>
      </c>
      <c r="K205" t="s">
        <v>123</v>
      </c>
      <c r="L205" t="s">
        <v>113</v>
      </c>
      <c r="M205" t="str">
        <f t="shared" si="29"/>
        <v>Stress</v>
      </c>
      <c r="N205" t="s">
        <v>238</v>
      </c>
      <c r="O205" t="str">
        <f t="shared" si="30"/>
        <v>Stress</v>
      </c>
      <c r="R205" t="s">
        <v>193</v>
      </c>
      <c r="S205" t="s">
        <v>112</v>
      </c>
      <c r="T205" t="s">
        <v>70</v>
      </c>
      <c r="U205" t="s">
        <v>211</v>
      </c>
      <c r="W205" s="1">
        <f>[25]North_etal_2004_Fig2!B17</f>
        <v>1.7260273972602699E-7</v>
      </c>
      <c r="X205" s="2"/>
      <c r="Y205">
        <f t="shared" si="31"/>
        <v>32.5</v>
      </c>
      <c r="Z205">
        <v>3.6</v>
      </c>
      <c r="AA205" t="s">
        <v>111</v>
      </c>
      <c r="AB205" t="s">
        <v>285</v>
      </c>
    </row>
    <row r="206" spans="1:28" x14ac:dyDescent="0.35">
      <c r="A206" t="s">
        <v>104</v>
      </c>
      <c r="B206" t="s">
        <v>105</v>
      </c>
      <c r="C206" t="s">
        <v>106</v>
      </c>
      <c r="D206" t="s">
        <v>107</v>
      </c>
      <c r="E206" t="s">
        <v>108</v>
      </c>
      <c r="F206" t="s">
        <v>109</v>
      </c>
      <c r="G206" t="s">
        <v>109</v>
      </c>
      <c r="H206" t="s">
        <v>109</v>
      </c>
      <c r="I206" t="s">
        <v>109</v>
      </c>
      <c r="J206">
        <v>45</v>
      </c>
      <c r="K206" t="s">
        <v>123</v>
      </c>
      <c r="L206" t="s">
        <v>16</v>
      </c>
      <c r="M206" t="str">
        <f t="shared" si="29"/>
        <v>Control</v>
      </c>
      <c r="N206" t="s">
        <v>16</v>
      </c>
      <c r="O206" t="str">
        <f t="shared" si="30"/>
        <v>Control</v>
      </c>
      <c r="R206" t="s">
        <v>193</v>
      </c>
      <c r="S206" t="s">
        <v>112</v>
      </c>
      <c r="T206" t="s">
        <v>26</v>
      </c>
      <c r="U206" t="s">
        <v>211</v>
      </c>
      <c r="W206" s="1">
        <f>[26]North_etal_2004_Fig5!B2</f>
        <v>2.10280373831775E-7</v>
      </c>
      <c r="X206" s="2"/>
      <c r="Y206">
        <f t="shared" si="31"/>
        <v>32.5</v>
      </c>
      <c r="Z206">
        <v>3.6</v>
      </c>
      <c r="AA206" t="s">
        <v>111</v>
      </c>
      <c r="AB206" t="s">
        <v>284</v>
      </c>
    </row>
    <row r="207" spans="1:28" x14ac:dyDescent="0.35">
      <c r="A207" t="s">
        <v>104</v>
      </c>
      <c r="B207" t="s">
        <v>105</v>
      </c>
      <c r="C207" t="s">
        <v>106</v>
      </c>
      <c r="D207" t="s">
        <v>107</v>
      </c>
      <c r="E207" t="s">
        <v>108</v>
      </c>
      <c r="F207" t="s">
        <v>109</v>
      </c>
      <c r="G207" t="s">
        <v>109</v>
      </c>
      <c r="H207" t="s">
        <v>109</v>
      </c>
      <c r="I207" t="s">
        <v>109</v>
      </c>
      <c r="J207">
        <v>45</v>
      </c>
      <c r="K207" t="s">
        <v>123</v>
      </c>
      <c r="L207" t="s">
        <v>16</v>
      </c>
      <c r="M207" t="str">
        <f t="shared" si="29"/>
        <v>Control</v>
      </c>
      <c r="N207" t="s">
        <v>238</v>
      </c>
      <c r="O207" t="str">
        <f t="shared" si="30"/>
        <v>Stress</v>
      </c>
      <c r="R207" t="s">
        <v>193</v>
      </c>
      <c r="S207" t="s">
        <v>112</v>
      </c>
      <c r="T207" t="s">
        <v>26</v>
      </c>
      <c r="U207" t="s">
        <v>211</v>
      </c>
      <c r="W207" s="1">
        <f>[26]North_etal_2004_Fig5!B3</f>
        <v>9.1121495327102798E-8</v>
      </c>
      <c r="X207" s="2"/>
      <c r="Y207">
        <f t="shared" si="31"/>
        <v>32.5</v>
      </c>
      <c r="Z207">
        <v>3.6</v>
      </c>
      <c r="AA207" t="s">
        <v>111</v>
      </c>
      <c r="AB207" t="s">
        <v>284</v>
      </c>
    </row>
    <row r="208" spans="1:28" x14ac:dyDescent="0.35">
      <c r="A208" t="s">
        <v>104</v>
      </c>
      <c r="B208" t="s">
        <v>105</v>
      </c>
      <c r="C208" t="s">
        <v>106</v>
      </c>
      <c r="D208" t="s">
        <v>107</v>
      </c>
      <c r="E208" t="s">
        <v>108</v>
      </c>
      <c r="F208" t="s">
        <v>109</v>
      </c>
      <c r="G208" t="s">
        <v>109</v>
      </c>
      <c r="H208" t="s">
        <v>109</v>
      </c>
      <c r="I208" t="s">
        <v>109</v>
      </c>
      <c r="J208">
        <v>45</v>
      </c>
      <c r="K208" t="s">
        <v>123</v>
      </c>
      <c r="L208" t="s">
        <v>113</v>
      </c>
      <c r="M208" t="str">
        <f t="shared" si="29"/>
        <v>Stress</v>
      </c>
      <c r="N208" t="s">
        <v>16</v>
      </c>
      <c r="O208" t="str">
        <f t="shared" si="30"/>
        <v>Control</v>
      </c>
      <c r="R208" t="s">
        <v>193</v>
      </c>
      <c r="S208" t="s">
        <v>112</v>
      </c>
      <c r="T208" t="s">
        <v>110</v>
      </c>
      <c r="U208" t="s">
        <v>211</v>
      </c>
      <c r="W208" s="1">
        <f>[26]North_etal_2004_Fig5!B4</f>
        <v>1.3888888888888901E-7</v>
      </c>
      <c r="X208" s="2"/>
      <c r="Y208">
        <f t="shared" si="31"/>
        <v>32.5</v>
      </c>
      <c r="Z208">
        <v>3.6</v>
      </c>
      <c r="AA208" t="s">
        <v>111</v>
      </c>
      <c r="AB208" t="s">
        <v>284</v>
      </c>
    </row>
    <row r="209" spans="1:28" x14ac:dyDescent="0.35">
      <c r="A209" t="s">
        <v>104</v>
      </c>
      <c r="B209" t="s">
        <v>105</v>
      </c>
      <c r="C209" t="s">
        <v>106</v>
      </c>
      <c r="D209" t="s">
        <v>107</v>
      </c>
      <c r="E209" t="s">
        <v>108</v>
      </c>
      <c r="F209" t="s">
        <v>109</v>
      </c>
      <c r="G209" t="s">
        <v>109</v>
      </c>
      <c r="H209" t="s">
        <v>109</v>
      </c>
      <c r="I209" t="s">
        <v>109</v>
      </c>
      <c r="J209">
        <v>45</v>
      </c>
      <c r="K209" t="s">
        <v>123</v>
      </c>
      <c r="L209" t="s">
        <v>113</v>
      </c>
      <c r="M209" t="str">
        <f t="shared" si="29"/>
        <v>Stress</v>
      </c>
      <c r="N209" t="s">
        <v>238</v>
      </c>
      <c r="O209" t="str">
        <f t="shared" si="30"/>
        <v>Stress</v>
      </c>
      <c r="R209" t="s">
        <v>193</v>
      </c>
      <c r="S209" t="s">
        <v>112</v>
      </c>
      <c r="T209" t="s">
        <v>110</v>
      </c>
      <c r="U209" t="s">
        <v>211</v>
      </c>
      <c r="W209" s="1">
        <f>[26]North_etal_2004_Fig5!B5</f>
        <v>1.59722222222222E-7</v>
      </c>
      <c r="X209" s="2"/>
      <c r="Y209">
        <f t="shared" si="31"/>
        <v>32.5</v>
      </c>
      <c r="Z209">
        <v>3.6</v>
      </c>
      <c r="AA209" t="s">
        <v>111</v>
      </c>
      <c r="AB209" t="s">
        <v>284</v>
      </c>
    </row>
    <row r="210" spans="1:28" x14ac:dyDescent="0.35">
      <c r="A210" t="s">
        <v>104</v>
      </c>
      <c r="B210" t="s">
        <v>105</v>
      </c>
      <c r="C210" t="s">
        <v>106</v>
      </c>
      <c r="D210" t="s">
        <v>107</v>
      </c>
      <c r="E210" t="s">
        <v>108</v>
      </c>
      <c r="F210" t="s">
        <v>109</v>
      </c>
      <c r="G210" t="s">
        <v>109</v>
      </c>
      <c r="H210" t="s">
        <v>109</v>
      </c>
      <c r="I210" t="s">
        <v>109</v>
      </c>
      <c r="J210">
        <v>45</v>
      </c>
      <c r="K210" t="s">
        <v>123</v>
      </c>
      <c r="L210" t="s">
        <v>16</v>
      </c>
      <c r="M210" t="str">
        <f t="shared" si="29"/>
        <v>Control</v>
      </c>
      <c r="N210" t="s">
        <v>16</v>
      </c>
      <c r="O210" t="str">
        <f t="shared" si="30"/>
        <v>Control</v>
      </c>
      <c r="R210" t="s">
        <v>193</v>
      </c>
      <c r="S210" t="s">
        <v>112</v>
      </c>
      <c r="T210" t="s">
        <v>70</v>
      </c>
      <c r="U210" t="s">
        <v>211</v>
      </c>
      <c r="W210" s="1">
        <f>[26]North_etal_2004_Fig5!B6</f>
        <v>2.57142857142856E-7</v>
      </c>
      <c r="X210" s="2"/>
      <c r="Y210">
        <f t="shared" si="31"/>
        <v>32.5</v>
      </c>
      <c r="Z210">
        <v>3.6</v>
      </c>
      <c r="AA210" t="s">
        <v>111</v>
      </c>
      <c r="AB210" t="s">
        <v>284</v>
      </c>
    </row>
    <row r="211" spans="1:28" x14ac:dyDescent="0.35">
      <c r="A211" t="s">
        <v>104</v>
      </c>
      <c r="B211" t="s">
        <v>105</v>
      </c>
      <c r="C211" t="s">
        <v>106</v>
      </c>
      <c r="D211" t="s">
        <v>107</v>
      </c>
      <c r="E211" t="s">
        <v>108</v>
      </c>
      <c r="F211" t="s">
        <v>109</v>
      </c>
      <c r="G211" t="s">
        <v>109</v>
      </c>
      <c r="H211" t="s">
        <v>109</v>
      </c>
      <c r="I211" t="s">
        <v>109</v>
      </c>
      <c r="J211">
        <v>45</v>
      </c>
      <c r="K211" t="s">
        <v>123</v>
      </c>
      <c r="L211" t="s">
        <v>16</v>
      </c>
      <c r="M211" t="str">
        <f t="shared" si="29"/>
        <v>Control</v>
      </c>
      <c r="N211" t="s">
        <v>238</v>
      </c>
      <c r="O211" t="str">
        <f t="shared" si="30"/>
        <v>Stress</v>
      </c>
      <c r="R211" t="s">
        <v>193</v>
      </c>
      <c r="S211" t="s">
        <v>112</v>
      </c>
      <c r="T211" t="s">
        <v>70</v>
      </c>
      <c r="U211" t="s">
        <v>211</v>
      </c>
      <c r="W211" s="1">
        <f>[26]North_etal_2004_Fig5!B7</f>
        <v>1.63507109004739E-7</v>
      </c>
      <c r="X211" s="2"/>
      <c r="Y211">
        <f t="shared" si="31"/>
        <v>32.5</v>
      </c>
      <c r="Z211">
        <v>3.6</v>
      </c>
      <c r="AA211" t="s">
        <v>111</v>
      </c>
      <c r="AB211" t="s">
        <v>284</v>
      </c>
    </row>
    <row r="212" spans="1:28" x14ac:dyDescent="0.35">
      <c r="A212" t="s">
        <v>114</v>
      </c>
      <c r="B212" t="s">
        <v>115</v>
      </c>
      <c r="C212" t="s">
        <v>116</v>
      </c>
      <c r="D212" t="s">
        <v>11</v>
      </c>
      <c r="E212" t="s">
        <v>12</v>
      </c>
      <c r="F212" t="s">
        <v>13</v>
      </c>
      <c r="G212" t="s">
        <v>13</v>
      </c>
      <c r="H212" t="s">
        <v>13</v>
      </c>
      <c r="I212" t="s">
        <v>242</v>
      </c>
      <c r="J212">
        <f>+AVERAGE(31,40)</f>
        <v>35.5</v>
      </c>
      <c r="K212" t="s">
        <v>272</v>
      </c>
      <c r="L212" t="s">
        <v>179</v>
      </c>
      <c r="M212" t="s">
        <v>243</v>
      </c>
      <c r="R212" t="s">
        <v>193</v>
      </c>
      <c r="S212" t="s">
        <v>25</v>
      </c>
      <c r="T212" t="s">
        <v>26</v>
      </c>
      <c r="U212" t="s">
        <v>211</v>
      </c>
      <c r="W212" s="1">
        <v>3.8000000000000003E-8</v>
      </c>
      <c r="X212" s="2"/>
      <c r="Y212">
        <f>+AVERAGE(15,20)</f>
        <v>17.5</v>
      </c>
      <c r="Z212">
        <f>+AVERAGE(0.6,1)</f>
        <v>0.8</v>
      </c>
      <c r="AA212" t="s">
        <v>21</v>
      </c>
      <c r="AB212" t="s">
        <v>285</v>
      </c>
    </row>
    <row r="213" spans="1:28" x14ac:dyDescent="0.35">
      <c r="A213" t="s">
        <v>114</v>
      </c>
      <c r="B213" t="s">
        <v>115</v>
      </c>
      <c r="C213" t="s">
        <v>116</v>
      </c>
      <c r="D213" t="s">
        <v>11</v>
      </c>
      <c r="E213" t="s">
        <v>12</v>
      </c>
      <c r="F213" t="s">
        <v>13</v>
      </c>
      <c r="G213" t="s">
        <v>13</v>
      </c>
      <c r="H213" t="s">
        <v>13</v>
      </c>
      <c r="I213" t="s">
        <v>242</v>
      </c>
      <c r="J213">
        <f t="shared" ref="J213:J215" si="32">+AVERAGE(31,40)</f>
        <v>35.5</v>
      </c>
      <c r="K213" t="s">
        <v>272</v>
      </c>
      <c r="L213" t="s">
        <v>180</v>
      </c>
      <c r="M213" t="s">
        <v>243</v>
      </c>
      <c r="R213" t="s">
        <v>193</v>
      </c>
      <c r="S213" t="s">
        <v>25</v>
      </c>
      <c r="T213" t="s">
        <v>26</v>
      </c>
      <c r="U213" t="s">
        <v>211</v>
      </c>
      <c r="W213" s="1">
        <v>4.0000000000000001E-8</v>
      </c>
      <c r="X213" s="2"/>
      <c r="Y213">
        <f t="shared" ref="Y213:Y215" si="33">+AVERAGE(15,20)</f>
        <v>17.5</v>
      </c>
      <c r="Z213">
        <f>+AVERAGE(0.8,1.2)</f>
        <v>1</v>
      </c>
      <c r="AA213" t="s">
        <v>21</v>
      </c>
      <c r="AB213" t="s">
        <v>285</v>
      </c>
    </row>
    <row r="214" spans="1:28" x14ac:dyDescent="0.35">
      <c r="A214" t="s">
        <v>114</v>
      </c>
      <c r="B214" t="s">
        <v>115</v>
      </c>
      <c r="C214" t="s">
        <v>116</v>
      </c>
      <c r="D214" t="s">
        <v>11</v>
      </c>
      <c r="E214" t="s">
        <v>12</v>
      </c>
      <c r="F214" t="s">
        <v>13</v>
      </c>
      <c r="G214" t="s">
        <v>13</v>
      </c>
      <c r="H214" t="s">
        <v>13</v>
      </c>
      <c r="I214" t="s">
        <v>242</v>
      </c>
      <c r="J214">
        <f t="shared" si="32"/>
        <v>35.5</v>
      </c>
      <c r="K214" t="s">
        <v>272</v>
      </c>
      <c r="L214" t="s">
        <v>179</v>
      </c>
      <c r="M214" t="s">
        <v>243</v>
      </c>
      <c r="R214" t="s">
        <v>193</v>
      </c>
      <c r="S214" t="s">
        <v>25</v>
      </c>
      <c r="T214" t="s">
        <v>26</v>
      </c>
      <c r="U214" t="s">
        <v>212</v>
      </c>
      <c r="W214" s="1">
        <v>1.0999999999999999E-8</v>
      </c>
      <c r="X214" s="2"/>
      <c r="Y214">
        <f t="shared" si="33"/>
        <v>17.5</v>
      </c>
      <c r="Z214">
        <f>+AVERAGE(0.6,1)</f>
        <v>0.8</v>
      </c>
      <c r="AA214" t="s">
        <v>21</v>
      </c>
      <c r="AB214" t="s">
        <v>285</v>
      </c>
    </row>
    <row r="215" spans="1:28" x14ac:dyDescent="0.35">
      <c r="A215" t="s">
        <v>114</v>
      </c>
      <c r="B215" t="s">
        <v>115</v>
      </c>
      <c r="C215" t="s">
        <v>116</v>
      </c>
      <c r="D215" t="s">
        <v>11</v>
      </c>
      <c r="E215" t="s">
        <v>12</v>
      </c>
      <c r="F215" t="s">
        <v>13</v>
      </c>
      <c r="G215" t="s">
        <v>13</v>
      </c>
      <c r="H215" t="s">
        <v>13</v>
      </c>
      <c r="I215" t="s">
        <v>242</v>
      </c>
      <c r="J215">
        <f t="shared" si="32"/>
        <v>35.5</v>
      </c>
      <c r="K215" t="s">
        <v>272</v>
      </c>
      <c r="L215" t="s">
        <v>180</v>
      </c>
      <c r="M215" t="s">
        <v>243</v>
      </c>
      <c r="R215" t="s">
        <v>193</v>
      </c>
      <c r="S215" t="s">
        <v>25</v>
      </c>
      <c r="T215" t="s">
        <v>26</v>
      </c>
      <c r="U215" t="s">
        <v>212</v>
      </c>
      <c r="W215" s="1">
        <v>1.0999999999999999E-8</v>
      </c>
      <c r="X215" s="2"/>
      <c r="Y215">
        <f t="shared" si="33"/>
        <v>17.5</v>
      </c>
      <c r="Z215">
        <f>+AVERAGE(0.8,1.2)</f>
        <v>1</v>
      </c>
      <c r="AA215" t="s">
        <v>21</v>
      </c>
      <c r="AB215" t="s">
        <v>285</v>
      </c>
    </row>
    <row r="216" spans="1:28" x14ac:dyDescent="0.35">
      <c r="A216" t="s">
        <v>249</v>
      </c>
      <c r="B216" t="s">
        <v>42</v>
      </c>
      <c r="C216" t="s">
        <v>43</v>
      </c>
      <c r="D216" t="s">
        <v>11</v>
      </c>
      <c r="E216" t="s">
        <v>12</v>
      </c>
      <c r="F216" t="s">
        <v>13</v>
      </c>
      <c r="G216" t="s">
        <v>13</v>
      </c>
      <c r="H216" t="s">
        <v>13</v>
      </c>
      <c r="I216" t="s">
        <v>242</v>
      </c>
      <c r="J216">
        <f>+AVERAGE(3,5)</f>
        <v>4</v>
      </c>
      <c r="K216" t="s">
        <v>250</v>
      </c>
      <c r="L216" t="s">
        <v>16</v>
      </c>
      <c r="M216" t="str">
        <f>+IF(L216="Control","Control","Stress")</f>
        <v>Control</v>
      </c>
      <c r="N216" t="s">
        <v>251</v>
      </c>
      <c r="O216" t="s">
        <v>243</v>
      </c>
      <c r="R216" t="s">
        <v>193</v>
      </c>
      <c r="S216" t="s">
        <v>25</v>
      </c>
      <c r="T216" t="s">
        <v>31</v>
      </c>
      <c r="U216" t="s">
        <v>212</v>
      </c>
      <c r="W216" s="1">
        <v>8.9999999999999999E-8</v>
      </c>
      <c r="X216" s="2"/>
      <c r="Y216">
        <f>+AVERAGE(3,6)</f>
        <v>4.5</v>
      </c>
      <c r="Z216"/>
      <c r="AA216" t="s">
        <v>253</v>
      </c>
      <c r="AB216" t="s">
        <v>285</v>
      </c>
    </row>
    <row r="217" spans="1:28" x14ac:dyDescent="0.35">
      <c r="A217" t="s">
        <v>249</v>
      </c>
      <c r="B217" t="s">
        <v>42</v>
      </c>
      <c r="C217" t="s">
        <v>43</v>
      </c>
      <c r="D217" t="s">
        <v>11</v>
      </c>
      <c r="E217" t="s">
        <v>12</v>
      </c>
      <c r="F217" t="s">
        <v>13</v>
      </c>
      <c r="G217" t="s">
        <v>13</v>
      </c>
      <c r="H217" t="s">
        <v>13</v>
      </c>
      <c r="I217" t="s">
        <v>242</v>
      </c>
      <c r="J217">
        <f t="shared" ref="J217:J219" si="34">+AVERAGE(3,5)</f>
        <v>4</v>
      </c>
      <c r="K217" t="s">
        <v>250</v>
      </c>
      <c r="L217" t="s">
        <v>45</v>
      </c>
      <c r="M217" t="str">
        <f>+IF(L217="Control","Control","Stress")</f>
        <v>Stress</v>
      </c>
      <c r="N217" t="s">
        <v>251</v>
      </c>
      <c r="O217" t="s">
        <v>243</v>
      </c>
      <c r="R217" t="s">
        <v>193</v>
      </c>
      <c r="S217" t="s">
        <v>25</v>
      </c>
      <c r="T217" t="s">
        <v>31</v>
      </c>
      <c r="U217" t="s">
        <v>212</v>
      </c>
      <c r="W217" s="1">
        <v>4.1999999999999999E-8</v>
      </c>
      <c r="X217" s="2"/>
      <c r="Y217">
        <f t="shared" ref="Y217:Y219" si="35">+AVERAGE(3,6)</f>
        <v>4.5</v>
      </c>
      <c r="Z217"/>
      <c r="AA217" t="s">
        <v>253</v>
      </c>
      <c r="AB217" t="s">
        <v>285</v>
      </c>
    </row>
    <row r="218" spans="1:28" x14ac:dyDescent="0.35">
      <c r="A218" t="s">
        <v>249</v>
      </c>
      <c r="B218" t="s">
        <v>42</v>
      </c>
      <c r="C218" t="s">
        <v>43</v>
      </c>
      <c r="D218" t="s">
        <v>11</v>
      </c>
      <c r="E218" t="s">
        <v>12</v>
      </c>
      <c r="F218" t="s">
        <v>13</v>
      </c>
      <c r="G218" t="s">
        <v>13</v>
      </c>
      <c r="H218" t="s">
        <v>13</v>
      </c>
      <c r="I218" t="s">
        <v>242</v>
      </c>
      <c r="J218">
        <f t="shared" si="34"/>
        <v>4</v>
      </c>
      <c r="K218" t="s">
        <v>250</v>
      </c>
      <c r="L218" t="s">
        <v>16</v>
      </c>
      <c r="M218" t="str">
        <f>+IF(L218="Control","Control","Stress")</f>
        <v>Control</v>
      </c>
      <c r="N218" t="s">
        <v>252</v>
      </c>
      <c r="O218" t="s">
        <v>243</v>
      </c>
      <c r="R218" t="s">
        <v>193</v>
      </c>
      <c r="S218" t="s">
        <v>25</v>
      </c>
      <c r="T218" t="s">
        <v>31</v>
      </c>
      <c r="U218" t="s">
        <v>212</v>
      </c>
      <c r="W218" s="1">
        <v>1.8E-7</v>
      </c>
      <c r="X218" s="2"/>
      <c r="Y218">
        <f t="shared" si="35"/>
        <v>4.5</v>
      </c>
      <c r="Z218"/>
      <c r="AA218" t="s">
        <v>253</v>
      </c>
      <c r="AB218" t="s">
        <v>285</v>
      </c>
    </row>
    <row r="219" spans="1:28" x14ac:dyDescent="0.35">
      <c r="A219" t="s">
        <v>249</v>
      </c>
      <c r="B219" t="s">
        <v>42</v>
      </c>
      <c r="C219" t="s">
        <v>43</v>
      </c>
      <c r="D219" t="s">
        <v>11</v>
      </c>
      <c r="E219" t="s">
        <v>12</v>
      </c>
      <c r="F219" t="s">
        <v>13</v>
      </c>
      <c r="G219" t="s">
        <v>13</v>
      </c>
      <c r="H219" t="s">
        <v>13</v>
      </c>
      <c r="I219" t="s">
        <v>242</v>
      </c>
      <c r="J219">
        <f t="shared" si="34"/>
        <v>4</v>
      </c>
      <c r="K219" t="s">
        <v>250</v>
      </c>
      <c r="L219" t="s">
        <v>45</v>
      </c>
      <c r="M219" t="str">
        <f>+IF(L219="Control","Control","Stress")</f>
        <v>Stress</v>
      </c>
      <c r="N219" t="s">
        <v>252</v>
      </c>
      <c r="O219" t="s">
        <v>243</v>
      </c>
      <c r="R219" t="s">
        <v>193</v>
      </c>
      <c r="S219" t="s">
        <v>25</v>
      </c>
      <c r="T219" t="s">
        <v>31</v>
      </c>
      <c r="U219" t="s">
        <v>212</v>
      </c>
      <c r="W219" s="1">
        <v>2.9999999999999997E-8</v>
      </c>
      <c r="X219" s="2"/>
      <c r="Y219">
        <f t="shared" si="35"/>
        <v>4.5</v>
      </c>
      <c r="Z219"/>
      <c r="AA219" t="s">
        <v>253</v>
      </c>
      <c r="AB219" t="s">
        <v>285</v>
      </c>
    </row>
    <row r="220" spans="1:28" x14ac:dyDescent="0.35">
      <c r="A220" t="s">
        <v>117</v>
      </c>
      <c r="B220" t="s">
        <v>115</v>
      </c>
      <c r="C220" t="s">
        <v>116</v>
      </c>
      <c r="D220" t="s">
        <v>11</v>
      </c>
      <c r="E220" t="s">
        <v>12</v>
      </c>
      <c r="F220" t="s">
        <v>13</v>
      </c>
      <c r="G220" t="s">
        <v>13</v>
      </c>
      <c r="H220" t="s">
        <v>13</v>
      </c>
      <c r="I220" t="s">
        <v>242</v>
      </c>
      <c r="J220">
        <f>+AVERAGE(31,40)</f>
        <v>35.5</v>
      </c>
      <c r="K220" t="s">
        <v>273</v>
      </c>
      <c r="L220" t="s">
        <v>183</v>
      </c>
      <c r="M220" t="s">
        <v>243</v>
      </c>
      <c r="N220" t="s">
        <v>180</v>
      </c>
      <c r="O220" t="s">
        <v>243</v>
      </c>
      <c r="R220" t="s">
        <v>193</v>
      </c>
      <c r="S220" t="s">
        <v>44</v>
      </c>
      <c r="T220" t="s">
        <v>26</v>
      </c>
      <c r="U220" t="s">
        <v>211</v>
      </c>
      <c r="W220" s="1">
        <v>4.7000000000000004E-8</v>
      </c>
      <c r="X220" s="2"/>
      <c r="Y220">
        <f>+AVERAGE(12.5,13.5)</f>
        <v>13</v>
      </c>
      <c r="Z220">
        <f>+AVERAGE(0.7,1.2)</f>
        <v>0.95</v>
      </c>
      <c r="AA220" t="s">
        <v>21</v>
      </c>
      <c r="AB220" t="s">
        <v>285</v>
      </c>
    </row>
    <row r="221" spans="1:28" x14ac:dyDescent="0.35">
      <c r="A221" t="s">
        <v>117</v>
      </c>
      <c r="B221" t="s">
        <v>115</v>
      </c>
      <c r="C221" t="s">
        <v>116</v>
      </c>
      <c r="D221" t="s">
        <v>11</v>
      </c>
      <c r="E221" t="s">
        <v>12</v>
      </c>
      <c r="F221" t="s">
        <v>13</v>
      </c>
      <c r="G221" t="s">
        <v>13</v>
      </c>
      <c r="H221" t="s">
        <v>13</v>
      </c>
      <c r="I221" t="s">
        <v>242</v>
      </c>
      <c r="J221">
        <f t="shared" ref="J221:J227" si="36">+AVERAGE(31,40)</f>
        <v>35.5</v>
      </c>
      <c r="K221" t="s">
        <v>273</v>
      </c>
      <c r="L221" t="s">
        <v>183</v>
      </c>
      <c r="M221" t="s">
        <v>243</v>
      </c>
      <c r="N221" t="s">
        <v>179</v>
      </c>
      <c r="O221" t="s">
        <v>243</v>
      </c>
      <c r="R221" t="s">
        <v>193</v>
      </c>
      <c r="S221" t="s">
        <v>44</v>
      </c>
      <c r="T221" t="s">
        <v>26</v>
      </c>
      <c r="U221" t="s">
        <v>211</v>
      </c>
      <c r="W221" s="1">
        <v>4.9999999999999998E-8</v>
      </c>
      <c r="X221" s="2"/>
      <c r="Y221">
        <f t="shared" ref="Y221:Y227" si="37">+AVERAGE(12.5,13.5)</f>
        <v>13</v>
      </c>
      <c r="Z221">
        <f>+AVERAGE(0.5,0.9)</f>
        <v>0.7</v>
      </c>
      <c r="AA221" t="s">
        <v>21</v>
      </c>
      <c r="AB221" t="s">
        <v>285</v>
      </c>
    </row>
    <row r="222" spans="1:28" x14ac:dyDescent="0.35">
      <c r="A222" t="s">
        <v>117</v>
      </c>
      <c r="B222" t="s">
        <v>115</v>
      </c>
      <c r="C222" t="s">
        <v>116</v>
      </c>
      <c r="D222" t="s">
        <v>11</v>
      </c>
      <c r="E222" t="s">
        <v>12</v>
      </c>
      <c r="F222" t="s">
        <v>13</v>
      </c>
      <c r="G222" t="s">
        <v>13</v>
      </c>
      <c r="H222" t="s">
        <v>13</v>
      </c>
      <c r="I222" t="s">
        <v>242</v>
      </c>
      <c r="J222">
        <f t="shared" si="36"/>
        <v>35.5</v>
      </c>
      <c r="K222" t="s">
        <v>273</v>
      </c>
      <c r="L222" t="s">
        <v>184</v>
      </c>
      <c r="M222" t="s">
        <v>243</v>
      </c>
      <c r="N222" t="s">
        <v>180</v>
      </c>
      <c r="O222" t="s">
        <v>243</v>
      </c>
      <c r="R222" t="s">
        <v>193</v>
      </c>
      <c r="S222" t="s">
        <v>44</v>
      </c>
      <c r="T222" t="s">
        <v>26</v>
      </c>
      <c r="U222" t="s">
        <v>211</v>
      </c>
      <c r="W222" s="1">
        <v>3.1E-8</v>
      </c>
      <c r="X222" s="2"/>
      <c r="Y222">
        <f t="shared" si="37"/>
        <v>13</v>
      </c>
      <c r="Z222">
        <f t="shared" ref="Z222" si="38">+AVERAGE(0.7,1.2)</f>
        <v>0.95</v>
      </c>
      <c r="AA222" t="s">
        <v>21</v>
      </c>
      <c r="AB222" t="s">
        <v>285</v>
      </c>
    </row>
    <row r="223" spans="1:28" x14ac:dyDescent="0.35">
      <c r="A223" t="s">
        <v>117</v>
      </c>
      <c r="B223" t="s">
        <v>115</v>
      </c>
      <c r="C223" t="s">
        <v>116</v>
      </c>
      <c r="D223" t="s">
        <v>11</v>
      </c>
      <c r="E223" t="s">
        <v>12</v>
      </c>
      <c r="F223" t="s">
        <v>13</v>
      </c>
      <c r="G223" t="s">
        <v>13</v>
      </c>
      <c r="H223" t="s">
        <v>13</v>
      </c>
      <c r="I223" t="s">
        <v>242</v>
      </c>
      <c r="J223">
        <f t="shared" si="36"/>
        <v>35.5</v>
      </c>
      <c r="K223" t="s">
        <v>273</v>
      </c>
      <c r="L223" t="s">
        <v>184</v>
      </c>
      <c r="M223" t="s">
        <v>243</v>
      </c>
      <c r="N223" t="s">
        <v>179</v>
      </c>
      <c r="O223" t="s">
        <v>243</v>
      </c>
      <c r="R223" t="s">
        <v>193</v>
      </c>
      <c r="S223" t="s">
        <v>44</v>
      </c>
      <c r="T223" t="s">
        <v>26</v>
      </c>
      <c r="U223" t="s">
        <v>211</v>
      </c>
      <c r="W223" s="1">
        <v>2.2999999999999998E-8</v>
      </c>
      <c r="X223" s="2"/>
      <c r="Y223">
        <f t="shared" si="37"/>
        <v>13</v>
      </c>
      <c r="Z223">
        <f t="shared" ref="Z223" si="39">+AVERAGE(0.5,0.9)</f>
        <v>0.7</v>
      </c>
      <c r="AA223" t="s">
        <v>21</v>
      </c>
      <c r="AB223" t="s">
        <v>285</v>
      </c>
    </row>
    <row r="224" spans="1:28" x14ac:dyDescent="0.35">
      <c r="A224" t="s">
        <v>117</v>
      </c>
      <c r="B224" t="s">
        <v>115</v>
      </c>
      <c r="C224" t="s">
        <v>116</v>
      </c>
      <c r="D224" t="s">
        <v>11</v>
      </c>
      <c r="E224" t="s">
        <v>12</v>
      </c>
      <c r="F224" t="s">
        <v>13</v>
      </c>
      <c r="G224" t="s">
        <v>13</v>
      </c>
      <c r="H224" t="s">
        <v>13</v>
      </c>
      <c r="I224" t="s">
        <v>242</v>
      </c>
      <c r="J224">
        <f t="shared" si="36"/>
        <v>35.5</v>
      </c>
      <c r="K224" t="s">
        <v>273</v>
      </c>
      <c r="L224" t="s">
        <v>183</v>
      </c>
      <c r="M224" t="s">
        <v>243</v>
      </c>
      <c r="N224" t="s">
        <v>180</v>
      </c>
      <c r="O224" t="s">
        <v>243</v>
      </c>
      <c r="R224" t="s">
        <v>193</v>
      </c>
      <c r="S224" t="s">
        <v>44</v>
      </c>
      <c r="T224" t="s">
        <v>26</v>
      </c>
      <c r="U224" t="s">
        <v>212</v>
      </c>
      <c r="W224" s="1">
        <v>4.0000000000000001E-8</v>
      </c>
      <c r="X224" s="2"/>
      <c r="Y224">
        <f t="shared" si="37"/>
        <v>13</v>
      </c>
      <c r="Z224">
        <f t="shared" ref="Z224" si="40">+AVERAGE(0.7,1.2)</f>
        <v>0.95</v>
      </c>
      <c r="AA224" t="s">
        <v>21</v>
      </c>
      <c r="AB224" t="s">
        <v>285</v>
      </c>
    </row>
    <row r="225" spans="1:28" x14ac:dyDescent="0.35">
      <c r="A225" t="s">
        <v>117</v>
      </c>
      <c r="B225" t="s">
        <v>115</v>
      </c>
      <c r="C225" t="s">
        <v>116</v>
      </c>
      <c r="D225" t="s">
        <v>11</v>
      </c>
      <c r="E225" t="s">
        <v>12</v>
      </c>
      <c r="F225" t="s">
        <v>13</v>
      </c>
      <c r="G225" t="s">
        <v>13</v>
      </c>
      <c r="H225" t="s">
        <v>13</v>
      </c>
      <c r="I225" t="s">
        <v>242</v>
      </c>
      <c r="J225">
        <f t="shared" si="36"/>
        <v>35.5</v>
      </c>
      <c r="K225" t="s">
        <v>273</v>
      </c>
      <c r="L225" t="s">
        <v>183</v>
      </c>
      <c r="M225" t="s">
        <v>243</v>
      </c>
      <c r="N225" t="s">
        <v>179</v>
      </c>
      <c r="O225" t="s">
        <v>243</v>
      </c>
      <c r="R225" t="s">
        <v>193</v>
      </c>
      <c r="S225" t="s">
        <v>44</v>
      </c>
      <c r="T225" t="s">
        <v>26</v>
      </c>
      <c r="U225" t="s">
        <v>212</v>
      </c>
      <c r="W225" s="1">
        <v>9.199999999999999E-8</v>
      </c>
      <c r="X225" s="2"/>
      <c r="Y225">
        <f t="shared" si="37"/>
        <v>13</v>
      </c>
      <c r="Z225">
        <f t="shared" ref="Z225" si="41">+AVERAGE(0.5,0.9)</f>
        <v>0.7</v>
      </c>
      <c r="AA225" t="s">
        <v>21</v>
      </c>
      <c r="AB225" t="s">
        <v>285</v>
      </c>
    </row>
    <row r="226" spans="1:28" x14ac:dyDescent="0.35">
      <c r="A226" t="s">
        <v>117</v>
      </c>
      <c r="B226" t="s">
        <v>115</v>
      </c>
      <c r="C226" t="s">
        <v>116</v>
      </c>
      <c r="D226" t="s">
        <v>11</v>
      </c>
      <c r="E226" t="s">
        <v>12</v>
      </c>
      <c r="F226" t="s">
        <v>13</v>
      </c>
      <c r="G226" t="s">
        <v>13</v>
      </c>
      <c r="H226" t="s">
        <v>13</v>
      </c>
      <c r="I226" t="s">
        <v>242</v>
      </c>
      <c r="J226">
        <f t="shared" si="36"/>
        <v>35.5</v>
      </c>
      <c r="K226" t="s">
        <v>273</v>
      </c>
      <c r="L226" t="s">
        <v>184</v>
      </c>
      <c r="M226" t="s">
        <v>243</v>
      </c>
      <c r="N226" t="s">
        <v>180</v>
      </c>
      <c r="O226" t="s">
        <v>243</v>
      </c>
      <c r="R226" t="s">
        <v>193</v>
      </c>
      <c r="S226" t="s">
        <v>44</v>
      </c>
      <c r="T226" t="s">
        <v>26</v>
      </c>
      <c r="U226" t="s">
        <v>212</v>
      </c>
      <c r="W226" s="1">
        <v>2E-8</v>
      </c>
      <c r="X226" s="2"/>
      <c r="Y226">
        <f t="shared" si="37"/>
        <v>13</v>
      </c>
      <c r="Z226">
        <f t="shared" ref="Z226" si="42">+AVERAGE(0.7,1.2)</f>
        <v>0.95</v>
      </c>
      <c r="AA226" t="s">
        <v>21</v>
      </c>
      <c r="AB226" t="s">
        <v>285</v>
      </c>
    </row>
    <row r="227" spans="1:28" x14ac:dyDescent="0.35">
      <c r="A227" t="s">
        <v>117</v>
      </c>
      <c r="B227" t="s">
        <v>115</v>
      </c>
      <c r="C227" t="s">
        <v>116</v>
      </c>
      <c r="D227" t="s">
        <v>11</v>
      </c>
      <c r="E227" t="s">
        <v>12</v>
      </c>
      <c r="F227" t="s">
        <v>13</v>
      </c>
      <c r="G227" t="s">
        <v>13</v>
      </c>
      <c r="H227" t="s">
        <v>13</v>
      </c>
      <c r="I227" t="s">
        <v>242</v>
      </c>
      <c r="J227">
        <f t="shared" si="36"/>
        <v>35.5</v>
      </c>
      <c r="K227" t="s">
        <v>273</v>
      </c>
      <c r="L227" t="s">
        <v>184</v>
      </c>
      <c r="M227" t="s">
        <v>243</v>
      </c>
      <c r="N227" t="s">
        <v>179</v>
      </c>
      <c r="O227" t="s">
        <v>243</v>
      </c>
      <c r="R227" t="s">
        <v>193</v>
      </c>
      <c r="S227" t="s">
        <v>44</v>
      </c>
      <c r="T227" t="s">
        <v>26</v>
      </c>
      <c r="U227" t="s">
        <v>212</v>
      </c>
      <c r="W227" s="1">
        <v>2.1000000000000003E-8</v>
      </c>
      <c r="X227" s="2"/>
      <c r="Y227">
        <f t="shared" si="37"/>
        <v>13</v>
      </c>
      <c r="Z227">
        <f t="shared" ref="Z227" si="43">+AVERAGE(0.5,0.9)</f>
        <v>0.7</v>
      </c>
      <c r="AA227" t="s">
        <v>21</v>
      </c>
      <c r="AB227" t="s">
        <v>285</v>
      </c>
    </row>
    <row r="228" spans="1:28" x14ac:dyDescent="0.35">
      <c r="A228" t="s">
        <v>118</v>
      </c>
      <c r="B228" t="s">
        <v>119</v>
      </c>
      <c r="C228" t="s">
        <v>120</v>
      </c>
      <c r="D228" t="s">
        <v>121</v>
      </c>
      <c r="E228" t="s">
        <v>108</v>
      </c>
      <c r="F228" t="s">
        <v>109</v>
      </c>
      <c r="G228" t="s">
        <v>109</v>
      </c>
      <c r="H228" t="s">
        <v>109</v>
      </c>
      <c r="I228" t="s">
        <v>109</v>
      </c>
      <c r="J228">
        <f>30+45</f>
        <v>75</v>
      </c>
      <c r="K228" t="s">
        <v>123</v>
      </c>
      <c r="L228" t="s">
        <v>16</v>
      </c>
      <c r="M228" t="str">
        <f t="shared" ref="M228:M239" si="44">+IF(L228="Control","Control","Stress")</f>
        <v>Control</v>
      </c>
      <c r="N228" t="s">
        <v>16</v>
      </c>
      <c r="O228" t="str">
        <f t="shared" ref="O228:O235" si="45">+IF(N228="Control", "Control", "Stress")</f>
        <v>Control</v>
      </c>
      <c r="R228" t="s">
        <v>193</v>
      </c>
      <c r="S228" t="s">
        <v>112</v>
      </c>
      <c r="T228" t="s">
        <v>26</v>
      </c>
      <c r="U228" t="s">
        <v>211</v>
      </c>
      <c r="W228" s="1">
        <f>[27]Martre_etal_2001_Fig3!B2</f>
        <v>3.8828828828828801E-7</v>
      </c>
      <c r="X228" s="2"/>
      <c r="Y228">
        <f>+AVERAGE(6,8)</f>
        <v>7</v>
      </c>
      <c r="Z228">
        <v>1.8</v>
      </c>
      <c r="AA228" t="s">
        <v>51</v>
      </c>
      <c r="AB228" t="s">
        <v>285</v>
      </c>
    </row>
    <row r="229" spans="1:28" x14ac:dyDescent="0.35">
      <c r="A229" t="s">
        <v>118</v>
      </c>
      <c r="B229" t="s">
        <v>119</v>
      </c>
      <c r="C229" t="s">
        <v>120</v>
      </c>
      <c r="D229" t="s">
        <v>121</v>
      </c>
      <c r="E229" t="s">
        <v>108</v>
      </c>
      <c r="F229" t="s">
        <v>109</v>
      </c>
      <c r="G229" t="s">
        <v>109</v>
      </c>
      <c r="H229" t="s">
        <v>109</v>
      </c>
      <c r="I229" t="s">
        <v>109</v>
      </c>
      <c r="J229">
        <f t="shared" ref="J229:J239" si="46">30+45</f>
        <v>75</v>
      </c>
      <c r="K229" t="s">
        <v>123</v>
      </c>
      <c r="L229" t="s">
        <v>16</v>
      </c>
      <c r="M229" t="str">
        <f t="shared" si="44"/>
        <v>Control</v>
      </c>
      <c r="N229" t="s">
        <v>238</v>
      </c>
      <c r="O229" t="str">
        <f t="shared" si="45"/>
        <v>Stress</v>
      </c>
      <c r="R229" t="s">
        <v>193</v>
      </c>
      <c r="S229" t="s">
        <v>112</v>
      </c>
      <c r="T229" t="s">
        <v>26</v>
      </c>
      <c r="U229" t="s">
        <v>211</v>
      </c>
      <c r="W229" s="1">
        <f>[27]Martre_etal_2001_Fig3!B3</f>
        <v>2.6576576576576503E-7</v>
      </c>
      <c r="X229" s="2"/>
      <c r="Y229">
        <f t="shared" ref="Y229:Y238" si="47">+AVERAGE(6,8)</f>
        <v>7</v>
      </c>
      <c r="Z229">
        <v>1.8</v>
      </c>
      <c r="AA229" t="s">
        <v>51</v>
      </c>
      <c r="AB229" t="s">
        <v>285</v>
      </c>
    </row>
    <row r="230" spans="1:28" x14ac:dyDescent="0.35">
      <c r="A230" t="s">
        <v>118</v>
      </c>
      <c r="B230" t="s">
        <v>119</v>
      </c>
      <c r="C230" t="s">
        <v>120</v>
      </c>
      <c r="D230" t="s">
        <v>121</v>
      </c>
      <c r="E230" t="s">
        <v>108</v>
      </c>
      <c r="F230" t="s">
        <v>109</v>
      </c>
      <c r="G230" t="s">
        <v>109</v>
      </c>
      <c r="H230" t="s">
        <v>109</v>
      </c>
      <c r="I230" t="s">
        <v>109</v>
      </c>
      <c r="J230">
        <f t="shared" si="46"/>
        <v>75</v>
      </c>
      <c r="K230" t="s">
        <v>123</v>
      </c>
      <c r="L230" t="s">
        <v>113</v>
      </c>
      <c r="M230" t="str">
        <f t="shared" si="44"/>
        <v>Stress</v>
      </c>
      <c r="N230" t="s">
        <v>16</v>
      </c>
      <c r="O230" t="str">
        <f t="shared" si="45"/>
        <v>Control</v>
      </c>
      <c r="R230" t="s">
        <v>193</v>
      </c>
      <c r="S230" t="s">
        <v>112</v>
      </c>
      <c r="T230" t="s">
        <v>26</v>
      </c>
      <c r="U230" t="s">
        <v>211</v>
      </c>
      <c r="W230" s="1">
        <f>[27]Martre_etal_2001_Fig3!B4</f>
        <v>1.5855855855855801E-7</v>
      </c>
      <c r="X230" s="2"/>
      <c r="Y230">
        <f t="shared" si="47"/>
        <v>7</v>
      </c>
      <c r="Z230">
        <v>1.8</v>
      </c>
      <c r="AA230" t="s">
        <v>51</v>
      </c>
      <c r="AB230" t="s">
        <v>285</v>
      </c>
    </row>
    <row r="231" spans="1:28" x14ac:dyDescent="0.35">
      <c r="A231" t="s">
        <v>118</v>
      </c>
      <c r="B231" t="s">
        <v>119</v>
      </c>
      <c r="C231" t="s">
        <v>120</v>
      </c>
      <c r="D231" t="s">
        <v>121</v>
      </c>
      <c r="E231" t="s">
        <v>108</v>
      </c>
      <c r="F231" t="s">
        <v>109</v>
      </c>
      <c r="G231" t="s">
        <v>109</v>
      </c>
      <c r="H231" t="s">
        <v>109</v>
      </c>
      <c r="I231" t="s">
        <v>109</v>
      </c>
      <c r="J231">
        <f t="shared" si="46"/>
        <v>75</v>
      </c>
      <c r="K231" t="s">
        <v>123</v>
      </c>
      <c r="L231" t="s">
        <v>113</v>
      </c>
      <c r="M231" t="str">
        <f t="shared" si="44"/>
        <v>Stress</v>
      </c>
      <c r="N231" t="s">
        <v>238</v>
      </c>
      <c r="O231" t="str">
        <f t="shared" si="45"/>
        <v>Stress</v>
      </c>
      <c r="R231" t="s">
        <v>193</v>
      </c>
      <c r="S231" t="s">
        <v>112</v>
      </c>
      <c r="T231" t="s">
        <v>26</v>
      </c>
      <c r="U231" t="s">
        <v>211</v>
      </c>
      <c r="W231" s="1">
        <f>[27]Martre_etal_2001_Fig3!B5</f>
        <v>1.6396396396396301E-7</v>
      </c>
      <c r="X231" s="2"/>
      <c r="Y231">
        <f t="shared" si="47"/>
        <v>7</v>
      </c>
      <c r="Z231">
        <v>1.8</v>
      </c>
      <c r="AA231" t="s">
        <v>51</v>
      </c>
      <c r="AB231" t="s">
        <v>285</v>
      </c>
    </row>
    <row r="232" spans="1:28" x14ac:dyDescent="0.35">
      <c r="A232" t="s">
        <v>118</v>
      </c>
      <c r="B232" t="s">
        <v>119</v>
      </c>
      <c r="C232" t="s">
        <v>120</v>
      </c>
      <c r="D232" t="s">
        <v>121</v>
      </c>
      <c r="E232" t="s">
        <v>108</v>
      </c>
      <c r="F232" t="s">
        <v>109</v>
      </c>
      <c r="G232" t="s">
        <v>109</v>
      </c>
      <c r="H232" t="s">
        <v>109</v>
      </c>
      <c r="I232" t="s">
        <v>109</v>
      </c>
      <c r="J232">
        <f t="shared" si="46"/>
        <v>75</v>
      </c>
      <c r="K232" t="s">
        <v>123</v>
      </c>
      <c r="L232" t="s">
        <v>16</v>
      </c>
      <c r="M232" t="str">
        <f t="shared" si="44"/>
        <v>Control</v>
      </c>
      <c r="N232" t="s">
        <v>16</v>
      </c>
      <c r="O232" t="str">
        <f t="shared" si="45"/>
        <v>Control</v>
      </c>
      <c r="R232" t="s">
        <v>193</v>
      </c>
      <c r="S232" t="s">
        <v>112</v>
      </c>
      <c r="T232" t="s">
        <v>110</v>
      </c>
      <c r="U232" t="s">
        <v>211</v>
      </c>
      <c r="W232" s="1">
        <f>[27]Martre_etal_2001_Fig3!B6</f>
        <v>5.6706443914081203E-7</v>
      </c>
      <c r="X232" s="2"/>
      <c r="Y232">
        <f t="shared" si="47"/>
        <v>7</v>
      </c>
      <c r="Z232">
        <v>1.8</v>
      </c>
      <c r="AA232" t="s">
        <v>51</v>
      </c>
      <c r="AB232" t="s">
        <v>285</v>
      </c>
    </row>
    <row r="233" spans="1:28" x14ac:dyDescent="0.35">
      <c r="A233" t="s">
        <v>118</v>
      </c>
      <c r="B233" t="s">
        <v>119</v>
      </c>
      <c r="C233" t="s">
        <v>120</v>
      </c>
      <c r="D233" t="s">
        <v>121</v>
      </c>
      <c r="E233" t="s">
        <v>108</v>
      </c>
      <c r="F233" t="s">
        <v>109</v>
      </c>
      <c r="G233" t="s">
        <v>109</v>
      </c>
      <c r="H233" t="s">
        <v>109</v>
      </c>
      <c r="I233" t="s">
        <v>109</v>
      </c>
      <c r="J233">
        <f t="shared" si="46"/>
        <v>75</v>
      </c>
      <c r="K233" t="s">
        <v>123</v>
      </c>
      <c r="L233" t="s">
        <v>16</v>
      </c>
      <c r="M233" t="str">
        <f t="shared" si="44"/>
        <v>Control</v>
      </c>
      <c r="N233" t="s">
        <v>238</v>
      </c>
      <c r="O233" t="str">
        <f t="shared" si="45"/>
        <v>Stress</v>
      </c>
      <c r="R233" t="s">
        <v>193</v>
      </c>
      <c r="S233" t="s">
        <v>112</v>
      </c>
      <c r="T233" t="s">
        <v>110</v>
      </c>
      <c r="U233" t="s">
        <v>211</v>
      </c>
      <c r="W233" s="1">
        <f>[27]Martre_etal_2001_Fig3!B7</f>
        <v>5.9713603818615702E-7</v>
      </c>
      <c r="X233" s="2"/>
      <c r="Y233">
        <f t="shared" si="47"/>
        <v>7</v>
      </c>
      <c r="Z233">
        <v>1.8</v>
      </c>
      <c r="AA233" t="s">
        <v>51</v>
      </c>
      <c r="AB233" t="s">
        <v>285</v>
      </c>
    </row>
    <row r="234" spans="1:28" x14ac:dyDescent="0.35">
      <c r="A234" t="s">
        <v>118</v>
      </c>
      <c r="B234" t="s">
        <v>119</v>
      </c>
      <c r="C234" t="s">
        <v>120</v>
      </c>
      <c r="D234" t="s">
        <v>121</v>
      </c>
      <c r="E234" t="s">
        <v>108</v>
      </c>
      <c r="F234" t="s">
        <v>109</v>
      </c>
      <c r="G234" t="s">
        <v>109</v>
      </c>
      <c r="H234" t="s">
        <v>109</v>
      </c>
      <c r="I234" t="s">
        <v>109</v>
      </c>
      <c r="J234">
        <f t="shared" si="46"/>
        <v>75</v>
      </c>
      <c r="K234" t="s">
        <v>123</v>
      </c>
      <c r="L234" t="s">
        <v>113</v>
      </c>
      <c r="M234" t="str">
        <f t="shared" si="44"/>
        <v>Stress</v>
      </c>
      <c r="N234" t="s">
        <v>16</v>
      </c>
      <c r="O234" t="str">
        <f t="shared" si="45"/>
        <v>Control</v>
      </c>
      <c r="R234" t="s">
        <v>193</v>
      </c>
      <c r="S234" t="s">
        <v>112</v>
      </c>
      <c r="T234" t="s">
        <v>110</v>
      </c>
      <c r="U234" t="s">
        <v>211</v>
      </c>
      <c r="W234" s="1">
        <f>[27]Martre_etal_2001_Fig3!B8</f>
        <v>1.56085918854415E-7</v>
      </c>
      <c r="X234" s="2"/>
      <c r="Y234">
        <f t="shared" si="47"/>
        <v>7</v>
      </c>
      <c r="Z234">
        <v>1.8</v>
      </c>
      <c r="AA234" t="s">
        <v>51</v>
      </c>
      <c r="AB234" t="s">
        <v>285</v>
      </c>
    </row>
    <row r="235" spans="1:28" x14ac:dyDescent="0.35">
      <c r="A235" t="s">
        <v>118</v>
      </c>
      <c r="B235" t="s">
        <v>119</v>
      </c>
      <c r="C235" t="s">
        <v>120</v>
      </c>
      <c r="D235" t="s">
        <v>121</v>
      </c>
      <c r="E235" t="s">
        <v>108</v>
      </c>
      <c r="F235" t="s">
        <v>109</v>
      </c>
      <c r="G235" t="s">
        <v>109</v>
      </c>
      <c r="H235" t="s">
        <v>109</v>
      </c>
      <c r="I235" t="s">
        <v>109</v>
      </c>
      <c r="J235">
        <f t="shared" si="46"/>
        <v>75</v>
      </c>
      <c r="K235" t="s">
        <v>123</v>
      </c>
      <c r="L235" t="s">
        <v>113</v>
      </c>
      <c r="M235" t="str">
        <f t="shared" si="44"/>
        <v>Stress</v>
      </c>
      <c r="N235" t="s">
        <v>238</v>
      </c>
      <c r="O235" t="str">
        <f t="shared" si="45"/>
        <v>Stress</v>
      </c>
      <c r="R235" t="s">
        <v>193</v>
      </c>
      <c r="S235" t="s">
        <v>112</v>
      </c>
      <c r="T235" t="s">
        <v>110</v>
      </c>
      <c r="U235" t="s">
        <v>211</v>
      </c>
      <c r="W235" s="1">
        <f>[27]Martre_etal_2001_Fig3!B9</f>
        <v>1.60381861575178E-7</v>
      </c>
      <c r="X235" s="2"/>
      <c r="Y235">
        <f t="shared" si="47"/>
        <v>7</v>
      </c>
      <c r="Z235">
        <v>1.8</v>
      </c>
      <c r="AA235" t="s">
        <v>51</v>
      </c>
      <c r="AB235" t="s">
        <v>285</v>
      </c>
    </row>
    <row r="236" spans="1:28" x14ac:dyDescent="0.35">
      <c r="A236" t="s">
        <v>118</v>
      </c>
      <c r="B236" t="s">
        <v>119</v>
      </c>
      <c r="C236" t="s">
        <v>120</v>
      </c>
      <c r="D236" t="s">
        <v>121</v>
      </c>
      <c r="E236" t="s">
        <v>108</v>
      </c>
      <c r="F236" t="s">
        <v>109</v>
      </c>
      <c r="G236" t="s">
        <v>109</v>
      </c>
      <c r="H236" t="s">
        <v>109</v>
      </c>
      <c r="I236" t="s">
        <v>109</v>
      </c>
      <c r="J236">
        <f t="shared" si="46"/>
        <v>75</v>
      </c>
      <c r="K236" t="s">
        <v>113</v>
      </c>
      <c r="L236" t="s">
        <v>16</v>
      </c>
      <c r="M236" t="str">
        <f t="shared" si="44"/>
        <v>Control</v>
      </c>
      <c r="R236" t="s">
        <v>193</v>
      </c>
      <c r="S236" t="s">
        <v>112</v>
      </c>
      <c r="T236" t="s">
        <v>26</v>
      </c>
      <c r="U236" t="s">
        <v>211</v>
      </c>
      <c r="W236" s="1">
        <f>[28]Martre_etal_2001_Fig5!B2</f>
        <v>3.47328244274809E-7</v>
      </c>
      <c r="X236" s="2"/>
      <c r="Y236">
        <f t="shared" si="47"/>
        <v>7</v>
      </c>
      <c r="Z236">
        <v>1.8</v>
      </c>
      <c r="AA236" t="s">
        <v>51</v>
      </c>
      <c r="AB236" t="s">
        <v>284</v>
      </c>
    </row>
    <row r="237" spans="1:28" x14ac:dyDescent="0.35">
      <c r="A237" t="s">
        <v>118</v>
      </c>
      <c r="B237" t="s">
        <v>119</v>
      </c>
      <c r="C237" t="s">
        <v>120</v>
      </c>
      <c r="D237" t="s">
        <v>121</v>
      </c>
      <c r="E237" t="s">
        <v>108</v>
      </c>
      <c r="F237" t="s">
        <v>109</v>
      </c>
      <c r="G237" t="s">
        <v>109</v>
      </c>
      <c r="H237" t="s">
        <v>109</v>
      </c>
      <c r="I237" t="s">
        <v>109</v>
      </c>
      <c r="J237">
        <f t="shared" si="46"/>
        <v>75</v>
      </c>
      <c r="K237" t="s">
        <v>113</v>
      </c>
      <c r="L237" t="s">
        <v>113</v>
      </c>
      <c r="M237" t="str">
        <f t="shared" si="44"/>
        <v>Stress</v>
      </c>
      <c r="R237" t="s">
        <v>193</v>
      </c>
      <c r="S237" t="s">
        <v>112</v>
      </c>
      <c r="T237" t="s">
        <v>26</v>
      </c>
      <c r="U237" t="s">
        <v>211</v>
      </c>
      <c r="W237" s="1">
        <f>[28]Martre_etal_2001_Fig5!B3</f>
        <v>6.6793893129770905E-8</v>
      </c>
      <c r="X237" s="2"/>
      <c r="Y237">
        <f t="shared" si="47"/>
        <v>7</v>
      </c>
      <c r="Z237">
        <v>1.8</v>
      </c>
      <c r="AA237" t="s">
        <v>51</v>
      </c>
      <c r="AB237" t="s">
        <v>284</v>
      </c>
    </row>
    <row r="238" spans="1:28" x14ac:dyDescent="0.35">
      <c r="A238" t="s">
        <v>118</v>
      </c>
      <c r="B238" t="s">
        <v>119</v>
      </c>
      <c r="C238" t="s">
        <v>120</v>
      </c>
      <c r="D238" t="s">
        <v>121</v>
      </c>
      <c r="E238" t="s">
        <v>108</v>
      </c>
      <c r="F238" t="s">
        <v>109</v>
      </c>
      <c r="G238" t="s">
        <v>109</v>
      </c>
      <c r="H238" t="s">
        <v>109</v>
      </c>
      <c r="I238" t="s">
        <v>109</v>
      </c>
      <c r="J238">
        <f t="shared" si="46"/>
        <v>75</v>
      </c>
      <c r="K238" t="s">
        <v>113</v>
      </c>
      <c r="L238" t="s">
        <v>16</v>
      </c>
      <c r="M238" t="str">
        <f t="shared" si="44"/>
        <v>Control</v>
      </c>
      <c r="R238" t="s">
        <v>193</v>
      </c>
      <c r="S238" t="s">
        <v>112</v>
      </c>
      <c r="T238" t="s">
        <v>110</v>
      </c>
      <c r="U238" t="s">
        <v>211</v>
      </c>
      <c r="W238" s="1">
        <f>[28]Martre_etal_2001_Fig5!B4</f>
        <v>8.0818965517241303E-7</v>
      </c>
      <c r="X238" s="2"/>
      <c r="Y238">
        <f t="shared" si="47"/>
        <v>7</v>
      </c>
      <c r="Z238">
        <v>1.8</v>
      </c>
      <c r="AA238" t="s">
        <v>51</v>
      </c>
      <c r="AB238" t="s">
        <v>284</v>
      </c>
    </row>
    <row r="239" spans="1:28" x14ac:dyDescent="0.35">
      <c r="A239" t="s">
        <v>118</v>
      </c>
      <c r="B239" t="s">
        <v>119</v>
      </c>
      <c r="C239" t="s">
        <v>120</v>
      </c>
      <c r="D239" t="s">
        <v>121</v>
      </c>
      <c r="E239" t="s">
        <v>108</v>
      </c>
      <c r="F239" t="s">
        <v>109</v>
      </c>
      <c r="G239" t="s">
        <v>109</v>
      </c>
      <c r="H239" t="s">
        <v>109</v>
      </c>
      <c r="I239" t="s">
        <v>109</v>
      </c>
      <c r="J239">
        <f t="shared" si="46"/>
        <v>75</v>
      </c>
      <c r="K239" t="s">
        <v>113</v>
      </c>
      <c r="L239" t="s">
        <v>113</v>
      </c>
      <c r="M239" t="str">
        <f t="shared" si="44"/>
        <v>Stress</v>
      </c>
      <c r="R239" t="s">
        <v>193</v>
      </c>
      <c r="S239" t="s">
        <v>112</v>
      </c>
      <c r="T239" t="s">
        <v>110</v>
      </c>
      <c r="U239" t="s">
        <v>211</v>
      </c>
      <c r="W239" s="1">
        <f>[28]Martre_etal_2001_Fig5!B5</f>
        <v>1.6163793103448101E-7</v>
      </c>
      <c r="X239" s="2"/>
      <c r="Y239">
        <v>7</v>
      </c>
      <c r="Z239">
        <v>1.8</v>
      </c>
      <c r="AA239" t="s">
        <v>51</v>
      </c>
      <c r="AB239" t="s">
        <v>284</v>
      </c>
    </row>
    <row r="240" spans="1:28" x14ac:dyDescent="0.35">
      <c r="A240" t="s">
        <v>122</v>
      </c>
      <c r="B240" t="s">
        <v>19</v>
      </c>
      <c r="C240" t="s">
        <v>20</v>
      </c>
      <c r="D240" t="s">
        <v>11</v>
      </c>
      <c r="E240" t="s">
        <v>14</v>
      </c>
      <c r="F240" t="s">
        <v>15</v>
      </c>
      <c r="G240" t="s">
        <v>15</v>
      </c>
      <c r="H240" t="s">
        <v>15</v>
      </c>
      <c r="I240" t="s">
        <v>242</v>
      </c>
      <c r="J240">
        <v>7</v>
      </c>
      <c r="K240" t="s">
        <v>274</v>
      </c>
      <c r="L240" t="s">
        <v>183</v>
      </c>
      <c r="M240" t="s">
        <v>243</v>
      </c>
      <c r="R240" t="s">
        <v>194</v>
      </c>
      <c r="S240" t="s">
        <v>29</v>
      </c>
      <c r="T240" t="s">
        <v>69</v>
      </c>
      <c r="U240" t="s">
        <v>211</v>
      </c>
      <c r="W240" s="1">
        <v>8.4999999999999994E-8</v>
      </c>
      <c r="X240">
        <v>4.08</v>
      </c>
      <c r="Y240">
        <v>13.8</v>
      </c>
      <c r="Z240" s="3"/>
      <c r="AA240" t="s">
        <v>21</v>
      </c>
      <c r="AB240" t="s">
        <v>285</v>
      </c>
    </row>
    <row r="241" spans="1:28" x14ac:dyDescent="0.35">
      <c r="A241" t="s">
        <v>122</v>
      </c>
      <c r="B241" t="s">
        <v>19</v>
      </c>
      <c r="C241" t="s">
        <v>20</v>
      </c>
      <c r="D241" t="s">
        <v>11</v>
      </c>
      <c r="E241" t="s">
        <v>14</v>
      </c>
      <c r="F241" t="s">
        <v>15</v>
      </c>
      <c r="G241" t="s">
        <v>15</v>
      </c>
      <c r="H241" t="s">
        <v>15</v>
      </c>
      <c r="I241" t="s">
        <v>242</v>
      </c>
      <c r="J241">
        <v>6.7</v>
      </c>
      <c r="K241" t="s">
        <v>274</v>
      </c>
      <c r="L241" t="s">
        <v>183</v>
      </c>
      <c r="M241" t="s">
        <v>243</v>
      </c>
      <c r="R241" t="s">
        <v>193</v>
      </c>
      <c r="S241" t="s">
        <v>29</v>
      </c>
      <c r="T241" t="s">
        <v>69</v>
      </c>
      <c r="U241" t="s">
        <v>211</v>
      </c>
      <c r="W241" s="1">
        <v>1.7600000000000001E-7</v>
      </c>
      <c r="X241">
        <v>3.59</v>
      </c>
      <c r="Y241">
        <v>13.819999999999999</v>
      </c>
      <c r="Z241" s="3"/>
      <c r="AA241" t="s">
        <v>21</v>
      </c>
      <c r="AB241" t="s">
        <v>285</v>
      </c>
    </row>
    <row r="242" spans="1:28" x14ac:dyDescent="0.35">
      <c r="A242" t="s">
        <v>122</v>
      </c>
      <c r="B242" t="s">
        <v>19</v>
      </c>
      <c r="C242" t="s">
        <v>20</v>
      </c>
      <c r="D242" t="s">
        <v>11</v>
      </c>
      <c r="E242" t="s">
        <v>14</v>
      </c>
      <c r="F242" t="s">
        <v>15</v>
      </c>
      <c r="G242" t="s">
        <v>15</v>
      </c>
      <c r="H242" t="s">
        <v>15</v>
      </c>
      <c r="I242" t="s">
        <v>242</v>
      </c>
      <c r="J242">
        <v>6</v>
      </c>
      <c r="K242" t="s">
        <v>274</v>
      </c>
      <c r="L242" t="s">
        <v>183</v>
      </c>
      <c r="M242" t="s">
        <v>243</v>
      </c>
      <c r="R242" t="s">
        <v>195</v>
      </c>
      <c r="S242" t="s">
        <v>29</v>
      </c>
      <c r="T242" t="s">
        <v>69</v>
      </c>
      <c r="U242" t="s">
        <v>211</v>
      </c>
      <c r="W242" s="1">
        <v>3.0199999999999998E-7</v>
      </c>
      <c r="X242">
        <v>3.41</v>
      </c>
      <c r="Y242">
        <v>14.6</v>
      </c>
      <c r="Z242" s="3"/>
      <c r="AA242" t="s">
        <v>21</v>
      </c>
      <c r="AB242" t="s">
        <v>285</v>
      </c>
    </row>
    <row r="243" spans="1:28" x14ac:dyDescent="0.35">
      <c r="A243" t="s">
        <v>122</v>
      </c>
      <c r="B243" t="s">
        <v>19</v>
      </c>
      <c r="C243" t="s">
        <v>20</v>
      </c>
      <c r="D243" t="s">
        <v>11</v>
      </c>
      <c r="E243" t="s">
        <v>14</v>
      </c>
      <c r="F243" t="s">
        <v>15</v>
      </c>
      <c r="G243" t="s">
        <v>15</v>
      </c>
      <c r="H243" t="s">
        <v>15</v>
      </c>
      <c r="I243" t="s">
        <v>242</v>
      </c>
      <c r="J243">
        <v>8</v>
      </c>
      <c r="K243" t="s">
        <v>274</v>
      </c>
      <c r="L243" t="s">
        <v>184</v>
      </c>
      <c r="M243" t="s">
        <v>243</v>
      </c>
      <c r="R243" t="s">
        <v>194</v>
      </c>
      <c r="S243" t="s">
        <v>29</v>
      </c>
      <c r="T243" t="s">
        <v>69</v>
      </c>
      <c r="U243" t="s">
        <v>211</v>
      </c>
      <c r="W243" s="1">
        <v>4.8E-8</v>
      </c>
      <c r="X243">
        <v>4.01</v>
      </c>
      <c r="Y243">
        <v>15.8</v>
      </c>
      <c r="Z243" s="3"/>
      <c r="AA243" t="s">
        <v>21</v>
      </c>
      <c r="AB243" t="s">
        <v>285</v>
      </c>
    </row>
    <row r="244" spans="1:28" x14ac:dyDescent="0.35">
      <c r="A244" t="s">
        <v>122</v>
      </c>
      <c r="B244" t="s">
        <v>19</v>
      </c>
      <c r="C244" t="s">
        <v>20</v>
      </c>
      <c r="D244" t="s">
        <v>11</v>
      </c>
      <c r="E244" t="s">
        <v>14</v>
      </c>
      <c r="F244" t="s">
        <v>15</v>
      </c>
      <c r="G244" t="s">
        <v>15</v>
      </c>
      <c r="H244" t="s">
        <v>15</v>
      </c>
      <c r="I244" t="s">
        <v>242</v>
      </c>
      <c r="J244">
        <v>7.3</v>
      </c>
      <c r="K244" t="s">
        <v>274</v>
      </c>
      <c r="L244" t="s">
        <v>184</v>
      </c>
      <c r="M244" t="s">
        <v>243</v>
      </c>
      <c r="R244" t="s">
        <v>193</v>
      </c>
      <c r="S244" t="s">
        <v>29</v>
      </c>
      <c r="T244" t="s">
        <v>69</v>
      </c>
      <c r="U244" t="s">
        <v>211</v>
      </c>
      <c r="W244" s="1">
        <v>1.14E-7</v>
      </c>
      <c r="X244">
        <v>3.41</v>
      </c>
      <c r="Y244">
        <v>14.24</v>
      </c>
      <c r="Z244" s="3"/>
      <c r="AA244" t="s">
        <v>21</v>
      </c>
      <c r="AB244" t="s">
        <v>285</v>
      </c>
    </row>
    <row r="245" spans="1:28" x14ac:dyDescent="0.35">
      <c r="A245" t="s">
        <v>122</v>
      </c>
      <c r="B245" t="s">
        <v>19</v>
      </c>
      <c r="C245" t="s">
        <v>20</v>
      </c>
      <c r="D245" t="s">
        <v>11</v>
      </c>
      <c r="E245" t="s">
        <v>14</v>
      </c>
      <c r="F245" t="s">
        <v>15</v>
      </c>
      <c r="G245" t="s">
        <v>15</v>
      </c>
      <c r="H245" t="s">
        <v>15</v>
      </c>
      <c r="I245" t="s">
        <v>242</v>
      </c>
      <c r="J245">
        <v>6</v>
      </c>
      <c r="K245" t="s">
        <v>274</v>
      </c>
      <c r="L245" t="s">
        <v>184</v>
      </c>
      <c r="M245" t="s">
        <v>243</v>
      </c>
      <c r="R245" t="s">
        <v>195</v>
      </c>
      <c r="S245" t="s">
        <v>29</v>
      </c>
      <c r="T245" t="s">
        <v>69</v>
      </c>
      <c r="U245" t="s">
        <v>211</v>
      </c>
      <c r="W245" s="1">
        <v>2.2500000000000002E-7</v>
      </c>
      <c r="X245">
        <v>3.85</v>
      </c>
      <c r="Y245">
        <v>13.7</v>
      </c>
      <c r="Z245" s="3"/>
      <c r="AA245" t="s">
        <v>21</v>
      </c>
      <c r="AB245" t="s">
        <v>285</v>
      </c>
    </row>
    <row r="246" spans="1:28" x14ac:dyDescent="0.35">
      <c r="A246" t="s">
        <v>122</v>
      </c>
      <c r="B246" t="s">
        <v>19</v>
      </c>
      <c r="C246" t="s">
        <v>20</v>
      </c>
      <c r="D246" t="s">
        <v>11</v>
      </c>
      <c r="E246" t="s">
        <v>14</v>
      </c>
      <c r="F246" t="s">
        <v>15</v>
      </c>
      <c r="G246" t="s">
        <v>15</v>
      </c>
      <c r="H246" t="s">
        <v>15</v>
      </c>
      <c r="I246" t="s">
        <v>242</v>
      </c>
      <c r="J246">
        <v>7</v>
      </c>
      <c r="K246" t="s">
        <v>274</v>
      </c>
      <c r="L246" t="s">
        <v>183</v>
      </c>
      <c r="M246" t="s">
        <v>243</v>
      </c>
      <c r="R246" t="s">
        <v>194</v>
      </c>
      <c r="S246" t="s">
        <v>29</v>
      </c>
      <c r="T246" t="s">
        <v>69</v>
      </c>
      <c r="U246" t="s">
        <v>212</v>
      </c>
      <c r="W246" s="1">
        <v>2.3000000000000003E-9</v>
      </c>
      <c r="X246">
        <v>4.08</v>
      </c>
      <c r="Y246">
        <v>13.8</v>
      </c>
      <c r="Z246" s="3"/>
      <c r="AA246" t="s">
        <v>21</v>
      </c>
      <c r="AB246" t="s">
        <v>285</v>
      </c>
    </row>
    <row r="247" spans="1:28" x14ac:dyDescent="0.35">
      <c r="A247" t="s">
        <v>122</v>
      </c>
      <c r="B247" t="s">
        <v>19</v>
      </c>
      <c r="C247" t="s">
        <v>20</v>
      </c>
      <c r="D247" t="s">
        <v>11</v>
      </c>
      <c r="E247" t="s">
        <v>14</v>
      </c>
      <c r="F247" t="s">
        <v>15</v>
      </c>
      <c r="G247" t="s">
        <v>15</v>
      </c>
      <c r="H247" t="s">
        <v>15</v>
      </c>
      <c r="I247" t="s">
        <v>242</v>
      </c>
      <c r="J247">
        <v>6.7</v>
      </c>
      <c r="K247" t="s">
        <v>274</v>
      </c>
      <c r="L247" t="s">
        <v>183</v>
      </c>
      <c r="M247" t="s">
        <v>243</v>
      </c>
      <c r="R247" t="s">
        <v>193</v>
      </c>
      <c r="S247" t="s">
        <v>29</v>
      </c>
      <c r="T247" t="s">
        <v>69</v>
      </c>
      <c r="U247" t="s">
        <v>212</v>
      </c>
      <c r="W247" s="1">
        <v>9.0000000000000012E-9</v>
      </c>
      <c r="X247">
        <v>3.59</v>
      </c>
      <c r="Y247">
        <v>13.819999999999999</v>
      </c>
      <c r="Z247" s="3"/>
      <c r="AA247" t="s">
        <v>21</v>
      </c>
      <c r="AB247" t="s">
        <v>285</v>
      </c>
    </row>
    <row r="248" spans="1:28" x14ac:dyDescent="0.35">
      <c r="A248" t="s">
        <v>122</v>
      </c>
      <c r="B248" t="s">
        <v>19</v>
      </c>
      <c r="C248" t="s">
        <v>20</v>
      </c>
      <c r="D248" t="s">
        <v>11</v>
      </c>
      <c r="E248" t="s">
        <v>14</v>
      </c>
      <c r="F248" t="s">
        <v>15</v>
      </c>
      <c r="G248" t="s">
        <v>15</v>
      </c>
      <c r="H248" t="s">
        <v>15</v>
      </c>
      <c r="I248" t="s">
        <v>242</v>
      </c>
      <c r="J248">
        <v>7</v>
      </c>
      <c r="K248" t="s">
        <v>274</v>
      </c>
      <c r="L248" t="s">
        <v>183</v>
      </c>
      <c r="M248" t="s">
        <v>243</v>
      </c>
      <c r="R248" t="s">
        <v>195</v>
      </c>
      <c r="S248" t="s">
        <v>29</v>
      </c>
      <c r="T248" t="s">
        <v>69</v>
      </c>
      <c r="U248" t="s">
        <v>212</v>
      </c>
      <c r="W248" s="1">
        <v>1.5700000000000002E-8</v>
      </c>
      <c r="X248">
        <v>4.3899999999999997</v>
      </c>
      <c r="Y248">
        <v>15.5</v>
      </c>
      <c r="Z248" s="3"/>
      <c r="AA248" t="s">
        <v>21</v>
      </c>
      <c r="AB248" t="s">
        <v>285</v>
      </c>
    </row>
    <row r="249" spans="1:28" x14ac:dyDescent="0.35">
      <c r="A249" t="s">
        <v>122</v>
      </c>
      <c r="B249" t="s">
        <v>19</v>
      </c>
      <c r="C249" t="s">
        <v>20</v>
      </c>
      <c r="D249" t="s">
        <v>11</v>
      </c>
      <c r="E249" t="s">
        <v>14</v>
      </c>
      <c r="F249" t="s">
        <v>15</v>
      </c>
      <c r="G249" t="s">
        <v>15</v>
      </c>
      <c r="H249" t="s">
        <v>15</v>
      </c>
      <c r="I249" t="s">
        <v>242</v>
      </c>
      <c r="J249">
        <v>7</v>
      </c>
      <c r="K249" t="s">
        <v>274</v>
      </c>
      <c r="L249" t="s">
        <v>184</v>
      </c>
      <c r="M249" t="s">
        <v>243</v>
      </c>
      <c r="R249" t="s">
        <v>194</v>
      </c>
      <c r="S249" t="s">
        <v>29</v>
      </c>
      <c r="T249" t="s">
        <v>69</v>
      </c>
      <c r="U249" t="s">
        <v>212</v>
      </c>
      <c r="W249" s="1">
        <v>6.2000000000000001E-9</v>
      </c>
      <c r="X249">
        <v>0.83</v>
      </c>
      <c r="Y249">
        <v>12.1</v>
      </c>
      <c r="Z249" s="3"/>
      <c r="AA249" t="s">
        <v>21</v>
      </c>
      <c r="AB249" t="s">
        <v>285</v>
      </c>
    </row>
    <row r="250" spans="1:28" x14ac:dyDescent="0.35">
      <c r="A250" t="s">
        <v>122</v>
      </c>
      <c r="B250" t="s">
        <v>19</v>
      </c>
      <c r="C250" t="s">
        <v>20</v>
      </c>
      <c r="D250" t="s">
        <v>11</v>
      </c>
      <c r="E250" t="s">
        <v>14</v>
      </c>
      <c r="F250" t="s">
        <v>15</v>
      </c>
      <c r="G250" t="s">
        <v>15</v>
      </c>
      <c r="H250" t="s">
        <v>15</v>
      </c>
      <c r="I250" t="s">
        <v>242</v>
      </c>
      <c r="J250">
        <v>7.3</v>
      </c>
      <c r="K250" t="s">
        <v>274</v>
      </c>
      <c r="L250" t="s">
        <v>184</v>
      </c>
      <c r="M250" t="s">
        <v>243</v>
      </c>
      <c r="R250" t="s">
        <v>193</v>
      </c>
      <c r="S250" t="s">
        <v>29</v>
      </c>
      <c r="T250" t="s">
        <v>69</v>
      </c>
      <c r="U250" t="s">
        <v>212</v>
      </c>
      <c r="W250" s="1">
        <v>1.1000000000000001E-8</v>
      </c>
      <c r="X250">
        <v>3.41</v>
      </c>
      <c r="Y250">
        <v>14.24</v>
      </c>
      <c r="Z250" s="3"/>
      <c r="AA250" t="s">
        <v>21</v>
      </c>
      <c r="AB250" t="s">
        <v>285</v>
      </c>
    </row>
    <row r="251" spans="1:28" x14ac:dyDescent="0.35">
      <c r="A251" t="s">
        <v>122</v>
      </c>
      <c r="B251" t="s">
        <v>19</v>
      </c>
      <c r="C251" t="s">
        <v>20</v>
      </c>
      <c r="D251" t="s">
        <v>11</v>
      </c>
      <c r="E251" t="s">
        <v>14</v>
      </c>
      <c r="F251" t="s">
        <v>15</v>
      </c>
      <c r="G251" t="s">
        <v>15</v>
      </c>
      <c r="H251" t="s">
        <v>15</v>
      </c>
      <c r="I251" t="s">
        <v>242</v>
      </c>
      <c r="J251">
        <v>7</v>
      </c>
      <c r="K251" t="s">
        <v>274</v>
      </c>
      <c r="L251" t="s">
        <v>184</v>
      </c>
      <c r="M251" t="s">
        <v>243</v>
      </c>
      <c r="R251" t="s">
        <v>195</v>
      </c>
      <c r="S251" t="s">
        <v>29</v>
      </c>
      <c r="T251" t="s">
        <v>69</v>
      </c>
      <c r="U251" t="s">
        <v>212</v>
      </c>
      <c r="W251" s="1">
        <v>1.9099999999999999E-8</v>
      </c>
      <c r="X251">
        <v>4.05</v>
      </c>
      <c r="Y251">
        <v>16.899999999999999</v>
      </c>
      <c r="Z251" s="3"/>
      <c r="AA251" t="s">
        <v>21</v>
      </c>
      <c r="AB251" t="s">
        <v>285</v>
      </c>
    </row>
    <row r="252" spans="1:28" x14ac:dyDescent="0.35">
      <c r="A252" t="s">
        <v>124</v>
      </c>
      <c r="B252" t="s">
        <v>105</v>
      </c>
      <c r="C252" t="s">
        <v>106</v>
      </c>
      <c r="D252" t="s">
        <v>107</v>
      </c>
      <c r="E252" t="s">
        <v>108</v>
      </c>
      <c r="F252" t="s">
        <v>109</v>
      </c>
      <c r="G252" t="s">
        <v>109</v>
      </c>
      <c r="H252" t="s">
        <v>109</v>
      </c>
      <c r="I252" t="s">
        <v>109</v>
      </c>
      <c r="J252">
        <f>+AVERAGE(1.5,2.5)*30+45</f>
        <v>105</v>
      </c>
      <c r="K252" t="s">
        <v>123</v>
      </c>
      <c r="L252" t="s">
        <v>16</v>
      </c>
      <c r="M252" t="str">
        <f t="shared" ref="M252:M292" si="48">+IF(L252="Control","Control","Stress")</f>
        <v>Control</v>
      </c>
      <c r="N252" t="s">
        <v>16</v>
      </c>
      <c r="O252" t="str">
        <f>+IF(N252="Control", "Control", "Stress")</f>
        <v>Control</v>
      </c>
      <c r="R252" t="s">
        <v>193</v>
      </c>
      <c r="S252" t="s">
        <v>112</v>
      </c>
      <c r="T252" t="s">
        <v>26</v>
      </c>
      <c r="U252" t="s">
        <v>211</v>
      </c>
      <c r="W252" s="1">
        <f>'[29]North&amp;Nobel_2000_Fig4'!B2</f>
        <v>1.4791666666666601E-7</v>
      </c>
      <c r="Y252">
        <v>7</v>
      </c>
      <c r="Z252"/>
      <c r="AA252" t="s">
        <v>51</v>
      </c>
      <c r="AB252" t="s">
        <v>285</v>
      </c>
    </row>
    <row r="253" spans="1:28" x14ac:dyDescent="0.35">
      <c r="A253" t="s">
        <v>124</v>
      </c>
      <c r="B253" t="s">
        <v>105</v>
      </c>
      <c r="C253" t="s">
        <v>106</v>
      </c>
      <c r="D253" t="s">
        <v>107</v>
      </c>
      <c r="E253" t="s">
        <v>108</v>
      </c>
      <c r="F253" t="s">
        <v>109</v>
      </c>
      <c r="G253" t="s">
        <v>109</v>
      </c>
      <c r="H253" t="s">
        <v>109</v>
      </c>
      <c r="I253" t="s">
        <v>109</v>
      </c>
      <c r="J253">
        <f t="shared" ref="J253:J255" si="49">+AVERAGE(1.5,2.5)*30+45</f>
        <v>105</v>
      </c>
      <c r="K253" t="s">
        <v>123</v>
      </c>
      <c r="L253" t="s">
        <v>16</v>
      </c>
      <c r="M253" t="str">
        <f t="shared" si="48"/>
        <v>Control</v>
      </c>
      <c r="N253" t="s">
        <v>238</v>
      </c>
      <c r="O253" t="str">
        <f>+IF(N253="Control", "Control", "Stress")</f>
        <v>Stress</v>
      </c>
      <c r="R253" t="s">
        <v>193</v>
      </c>
      <c r="S253" t="s">
        <v>112</v>
      </c>
      <c r="T253" t="s">
        <v>26</v>
      </c>
      <c r="U253" t="s">
        <v>211</v>
      </c>
      <c r="W253" s="1">
        <f>'[29]North&amp;Nobel_2000_Fig4'!B3</f>
        <v>7.0535714285714204E-8</v>
      </c>
      <c r="Y253">
        <v>7</v>
      </c>
      <c r="Z253"/>
      <c r="AA253" t="s">
        <v>51</v>
      </c>
      <c r="AB253" t="s">
        <v>285</v>
      </c>
    </row>
    <row r="254" spans="1:28" x14ac:dyDescent="0.35">
      <c r="A254" t="s">
        <v>124</v>
      </c>
      <c r="B254" t="s">
        <v>105</v>
      </c>
      <c r="C254" t="s">
        <v>106</v>
      </c>
      <c r="D254" t="s">
        <v>107</v>
      </c>
      <c r="E254" t="s">
        <v>108</v>
      </c>
      <c r="F254" t="s">
        <v>109</v>
      </c>
      <c r="G254" t="s">
        <v>109</v>
      </c>
      <c r="H254" t="s">
        <v>109</v>
      </c>
      <c r="I254" t="s">
        <v>109</v>
      </c>
      <c r="J254">
        <f t="shared" si="49"/>
        <v>105</v>
      </c>
      <c r="K254" t="s">
        <v>123</v>
      </c>
      <c r="L254" t="s">
        <v>113</v>
      </c>
      <c r="M254" t="str">
        <f t="shared" si="48"/>
        <v>Stress</v>
      </c>
      <c r="N254" t="s">
        <v>16</v>
      </c>
      <c r="O254" t="str">
        <f>+IF(N254="Control", "Control", "Stress")</f>
        <v>Control</v>
      </c>
      <c r="R254" t="s">
        <v>193</v>
      </c>
      <c r="S254" t="s">
        <v>112</v>
      </c>
      <c r="T254" t="s">
        <v>26</v>
      </c>
      <c r="U254" t="s">
        <v>211</v>
      </c>
      <c r="W254" s="1">
        <f>'[29]North&amp;Nobel_2000_Fig4'!B4</f>
        <v>5.4166666666666602E-8</v>
      </c>
      <c r="Y254">
        <v>7</v>
      </c>
      <c r="Z254"/>
      <c r="AA254" t="s">
        <v>51</v>
      </c>
      <c r="AB254" t="s">
        <v>285</v>
      </c>
    </row>
    <row r="255" spans="1:28" x14ac:dyDescent="0.35">
      <c r="A255" t="s">
        <v>124</v>
      </c>
      <c r="B255" t="s">
        <v>105</v>
      </c>
      <c r="C255" t="s">
        <v>106</v>
      </c>
      <c r="D255" t="s">
        <v>107</v>
      </c>
      <c r="E255" t="s">
        <v>108</v>
      </c>
      <c r="F255" t="s">
        <v>109</v>
      </c>
      <c r="G255" t="s">
        <v>109</v>
      </c>
      <c r="H255" t="s">
        <v>109</v>
      </c>
      <c r="I255" t="s">
        <v>109</v>
      </c>
      <c r="J255">
        <f t="shared" si="49"/>
        <v>105</v>
      </c>
      <c r="K255" t="s">
        <v>123</v>
      </c>
      <c r="L255" t="s">
        <v>113</v>
      </c>
      <c r="M255" t="str">
        <f t="shared" si="48"/>
        <v>Stress</v>
      </c>
      <c r="N255" t="s">
        <v>238</v>
      </c>
      <c r="O255" t="str">
        <f>+IF(N255="Control", "Control", "Stress")</f>
        <v>Stress</v>
      </c>
      <c r="R255" t="s">
        <v>193</v>
      </c>
      <c r="S255" t="s">
        <v>112</v>
      </c>
      <c r="T255" t="s">
        <v>26</v>
      </c>
      <c r="U255" t="s">
        <v>211</v>
      </c>
      <c r="W255" s="1">
        <f>'[29]North&amp;Nobel_2000_Fig4'!B5</f>
        <v>4.8809523809523802E-8</v>
      </c>
      <c r="Y255">
        <v>7</v>
      </c>
      <c r="Z255"/>
      <c r="AA255" t="s">
        <v>51</v>
      </c>
      <c r="AB255" t="s">
        <v>285</v>
      </c>
    </row>
    <row r="256" spans="1:28" x14ac:dyDescent="0.35">
      <c r="A256" t="s">
        <v>125</v>
      </c>
      <c r="B256" t="s">
        <v>126</v>
      </c>
      <c r="C256" t="s">
        <v>127</v>
      </c>
      <c r="D256" t="s">
        <v>128</v>
      </c>
      <c r="E256" t="s">
        <v>12</v>
      </c>
      <c r="F256" t="s">
        <v>217</v>
      </c>
      <c r="G256" t="s">
        <v>217</v>
      </c>
      <c r="H256" t="s">
        <v>290</v>
      </c>
      <c r="I256" t="s">
        <v>294</v>
      </c>
      <c r="J256">
        <f>+AVERAGE(9,10)</f>
        <v>9.5</v>
      </c>
      <c r="K256" t="s">
        <v>50</v>
      </c>
      <c r="L256" t="s">
        <v>16</v>
      </c>
      <c r="M256" t="str">
        <f t="shared" si="48"/>
        <v>Control</v>
      </c>
      <c r="R256" t="s">
        <v>193</v>
      </c>
      <c r="S256" t="s">
        <v>44</v>
      </c>
      <c r="T256" t="s">
        <v>26</v>
      </c>
      <c r="U256" t="s">
        <v>211</v>
      </c>
      <c r="W256" s="1">
        <f>[30]Barrowclough_etal_2000_Fig3a!B2</f>
        <v>1.4870317002881801E-7</v>
      </c>
      <c r="Z256"/>
      <c r="AA256" t="s">
        <v>129</v>
      </c>
      <c r="AB256" t="s">
        <v>285</v>
      </c>
    </row>
    <row r="257" spans="1:28" x14ac:dyDescent="0.35">
      <c r="A257" t="s">
        <v>125</v>
      </c>
      <c r="B257" t="s">
        <v>126</v>
      </c>
      <c r="C257" t="s">
        <v>127</v>
      </c>
      <c r="D257" t="s">
        <v>128</v>
      </c>
      <c r="E257" t="s">
        <v>12</v>
      </c>
      <c r="F257" t="s">
        <v>217</v>
      </c>
      <c r="G257" t="s">
        <v>217</v>
      </c>
      <c r="H257" t="s">
        <v>290</v>
      </c>
      <c r="I257" t="s">
        <v>294</v>
      </c>
      <c r="J257">
        <f t="shared" ref="J257:J261" si="50">+AVERAGE(9,10)</f>
        <v>9.5</v>
      </c>
      <c r="K257" t="s">
        <v>50</v>
      </c>
      <c r="L257" t="s">
        <v>16</v>
      </c>
      <c r="M257" t="str">
        <f t="shared" si="48"/>
        <v>Control</v>
      </c>
      <c r="R257" t="s">
        <v>193</v>
      </c>
      <c r="S257" t="s">
        <v>44</v>
      </c>
      <c r="T257" t="s">
        <v>110</v>
      </c>
      <c r="U257" t="s">
        <v>211</v>
      </c>
      <c r="W257" s="1">
        <f>[30]Barrowclough_etal_2000_Fig3a!B3</f>
        <v>2.3948126801152702E-7</v>
      </c>
      <c r="Z257"/>
      <c r="AA257" t="s">
        <v>129</v>
      </c>
      <c r="AB257" t="s">
        <v>285</v>
      </c>
    </row>
    <row r="258" spans="1:28" x14ac:dyDescent="0.35">
      <c r="A258" t="s">
        <v>125</v>
      </c>
      <c r="B258" t="s">
        <v>126</v>
      </c>
      <c r="C258" t="s">
        <v>127</v>
      </c>
      <c r="D258" t="s">
        <v>128</v>
      </c>
      <c r="E258" t="s">
        <v>12</v>
      </c>
      <c r="F258" t="s">
        <v>217</v>
      </c>
      <c r="G258" t="s">
        <v>217</v>
      </c>
      <c r="H258" t="s">
        <v>290</v>
      </c>
      <c r="I258" t="s">
        <v>294</v>
      </c>
      <c r="J258">
        <f t="shared" si="50"/>
        <v>9.5</v>
      </c>
      <c r="K258" t="s">
        <v>50</v>
      </c>
      <c r="L258" t="s">
        <v>16</v>
      </c>
      <c r="M258" t="str">
        <f t="shared" si="48"/>
        <v>Control</v>
      </c>
      <c r="R258" t="s">
        <v>193</v>
      </c>
      <c r="S258" t="s">
        <v>44</v>
      </c>
      <c r="T258" t="s">
        <v>70</v>
      </c>
      <c r="U258" t="s">
        <v>211</v>
      </c>
      <c r="W258" s="1">
        <f>[30]Barrowclough_etal_2000_Fig3a!B4</f>
        <v>2.7925072046109502E-7</v>
      </c>
      <c r="Z258"/>
      <c r="AA258" t="s">
        <v>129</v>
      </c>
      <c r="AB258" t="s">
        <v>285</v>
      </c>
    </row>
    <row r="259" spans="1:28" x14ac:dyDescent="0.35">
      <c r="A259" t="s">
        <v>125</v>
      </c>
      <c r="B259" t="s">
        <v>126</v>
      </c>
      <c r="C259" t="s">
        <v>127</v>
      </c>
      <c r="D259" t="s">
        <v>128</v>
      </c>
      <c r="E259" t="s">
        <v>12</v>
      </c>
      <c r="F259" t="s">
        <v>217</v>
      </c>
      <c r="G259" t="s">
        <v>217</v>
      </c>
      <c r="H259" t="s">
        <v>290</v>
      </c>
      <c r="I259" t="s">
        <v>294</v>
      </c>
      <c r="J259">
        <f t="shared" si="50"/>
        <v>9.5</v>
      </c>
      <c r="K259" t="s">
        <v>50</v>
      </c>
      <c r="L259" t="s">
        <v>238</v>
      </c>
      <c r="M259" t="str">
        <f t="shared" si="48"/>
        <v>Stress</v>
      </c>
      <c r="R259" t="s">
        <v>193</v>
      </c>
      <c r="S259" t="s">
        <v>44</v>
      </c>
      <c r="T259" t="s">
        <v>26</v>
      </c>
      <c r="U259" t="s">
        <v>211</v>
      </c>
      <c r="W259" s="1">
        <f>[30]Barrowclough_etal_2000_Fig3a!B5</f>
        <v>8.6455331412103802E-8</v>
      </c>
      <c r="Z259"/>
      <c r="AA259" t="s">
        <v>129</v>
      </c>
      <c r="AB259" t="s">
        <v>285</v>
      </c>
    </row>
    <row r="260" spans="1:28" x14ac:dyDescent="0.35">
      <c r="A260" t="s">
        <v>125</v>
      </c>
      <c r="B260" t="s">
        <v>126</v>
      </c>
      <c r="C260" t="s">
        <v>127</v>
      </c>
      <c r="D260" t="s">
        <v>128</v>
      </c>
      <c r="E260" t="s">
        <v>12</v>
      </c>
      <c r="F260" t="s">
        <v>217</v>
      </c>
      <c r="G260" t="s">
        <v>217</v>
      </c>
      <c r="H260" t="s">
        <v>290</v>
      </c>
      <c r="I260" t="s">
        <v>294</v>
      </c>
      <c r="J260">
        <f t="shared" si="50"/>
        <v>9.5</v>
      </c>
      <c r="K260" t="s">
        <v>50</v>
      </c>
      <c r="L260" t="s">
        <v>238</v>
      </c>
      <c r="M260" t="str">
        <f t="shared" si="48"/>
        <v>Stress</v>
      </c>
      <c r="R260" t="s">
        <v>193</v>
      </c>
      <c r="S260" t="s">
        <v>44</v>
      </c>
      <c r="T260" t="s">
        <v>110</v>
      </c>
      <c r="U260" t="s">
        <v>211</v>
      </c>
      <c r="W260" s="1">
        <f>[30]Barrowclough_etal_2000_Fig3a!B6</f>
        <v>8.6455331412103696E-8</v>
      </c>
      <c r="Z260"/>
      <c r="AA260" t="s">
        <v>129</v>
      </c>
      <c r="AB260" t="s">
        <v>285</v>
      </c>
    </row>
    <row r="261" spans="1:28" x14ac:dyDescent="0.35">
      <c r="A261" t="s">
        <v>125</v>
      </c>
      <c r="B261" t="s">
        <v>126</v>
      </c>
      <c r="C261" t="s">
        <v>127</v>
      </c>
      <c r="D261" t="s">
        <v>128</v>
      </c>
      <c r="E261" t="s">
        <v>12</v>
      </c>
      <c r="F261" t="s">
        <v>217</v>
      </c>
      <c r="G261" t="s">
        <v>217</v>
      </c>
      <c r="H261" t="s">
        <v>290</v>
      </c>
      <c r="I261" t="s">
        <v>294</v>
      </c>
      <c r="J261">
        <f t="shared" si="50"/>
        <v>9.5</v>
      </c>
      <c r="K261" t="s">
        <v>50</v>
      </c>
      <c r="L261" t="s">
        <v>238</v>
      </c>
      <c r="M261" t="str">
        <f t="shared" si="48"/>
        <v>Stress</v>
      </c>
      <c r="R261" t="s">
        <v>193</v>
      </c>
      <c r="S261" t="s">
        <v>44</v>
      </c>
      <c r="T261" t="s">
        <v>70</v>
      </c>
      <c r="U261" t="s">
        <v>211</v>
      </c>
      <c r="W261" s="1">
        <f>[30]Barrowclough_etal_2000_Fig3a!B7</f>
        <v>7.3487031700288097E-8</v>
      </c>
      <c r="Z261"/>
      <c r="AA261" t="s">
        <v>129</v>
      </c>
      <c r="AB261" t="s">
        <v>285</v>
      </c>
    </row>
    <row r="262" spans="1:28" x14ac:dyDescent="0.35">
      <c r="A262" t="s">
        <v>130</v>
      </c>
      <c r="B262" t="s">
        <v>19</v>
      </c>
      <c r="C262" t="s">
        <v>20</v>
      </c>
      <c r="D262" t="s">
        <v>11</v>
      </c>
      <c r="E262" t="s">
        <v>14</v>
      </c>
      <c r="F262" t="s">
        <v>15</v>
      </c>
      <c r="G262" t="s">
        <v>15</v>
      </c>
      <c r="H262" t="s">
        <v>15</v>
      </c>
      <c r="I262" t="s">
        <v>242</v>
      </c>
      <c r="J262">
        <f>+AVERAGE(6,7)</f>
        <v>6.5</v>
      </c>
      <c r="K262" t="s">
        <v>131</v>
      </c>
      <c r="L262" t="s">
        <v>16</v>
      </c>
      <c r="M262" t="str">
        <f t="shared" si="48"/>
        <v>Control</v>
      </c>
      <c r="R262" t="s">
        <v>193</v>
      </c>
      <c r="S262" t="s">
        <v>29</v>
      </c>
      <c r="T262" t="s">
        <v>31</v>
      </c>
      <c r="U262" t="s">
        <v>211</v>
      </c>
      <c r="W262" s="1">
        <v>5.0999999999999999E-7</v>
      </c>
      <c r="Y262">
        <f>+AVERAGE(9.4,15.1)</f>
        <v>12.25</v>
      </c>
      <c r="Z262"/>
      <c r="AA262" t="s">
        <v>21</v>
      </c>
      <c r="AB262" t="s">
        <v>285</v>
      </c>
    </row>
    <row r="263" spans="1:28" x14ac:dyDescent="0.35">
      <c r="A263" t="s">
        <v>130</v>
      </c>
      <c r="B263" t="s">
        <v>19</v>
      </c>
      <c r="C263" t="s">
        <v>20</v>
      </c>
      <c r="D263" t="s">
        <v>11</v>
      </c>
      <c r="E263" t="s">
        <v>14</v>
      </c>
      <c r="F263" t="s">
        <v>15</v>
      </c>
      <c r="G263" t="s">
        <v>15</v>
      </c>
      <c r="H263" t="s">
        <v>15</v>
      </c>
      <c r="I263" t="s">
        <v>242</v>
      </c>
      <c r="J263">
        <f t="shared" ref="J263:J271" si="51">+AVERAGE(6,7)</f>
        <v>6.5</v>
      </c>
      <c r="K263" t="s">
        <v>131</v>
      </c>
      <c r="L263" t="s">
        <v>131</v>
      </c>
      <c r="M263" t="str">
        <f t="shared" si="48"/>
        <v>Stress</v>
      </c>
      <c r="R263" t="s">
        <v>193</v>
      </c>
      <c r="S263" t="s">
        <v>29</v>
      </c>
      <c r="T263" t="s">
        <v>31</v>
      </c>
      <c r="U263" t="s">
        <v>211</v>
      </c>
      <c r="W263" s="1">
        <v>3.9999999999999998E-7</v>
      </c>
      <c r="Y263">
        <f t="shared" ref="Y263:Y271" si="52">+AVERAGE(9.4,15.1)</f>
        <v>12.25</v>
      </c>
      <c r="Z263"/>
      <c r="AA263" t="s">
        <v>21</v>
      </c>
      <c r="AB263" t="s">
        <v>285</v>
      </c>
    </row>
    <row r="264" spans="1:28" x14ac:dyDescent="0.35">
      <c r="A264" t="s">
        <v>130</v>
      </c>
      <c r="B264" t="s">
        <v>19</v>
      </c>
      <c r="C264" t="s">
        <v>20</v>
      </c>
      <c r="D264" t="s">
        <v>11</v>
      </c>
      <c r="E264" t="s">
        <v>14</v>
      </c>
      <c r="F264" t="s">
        <v>15</v>
      </c>
      <c r="G264" t="s">
        <v>15</v>
      </c>
      <c r="H264" t="s">
        <v>15</v>
      </c>
      <c r="I264" t="s">
        <v>242</v>
      </c>
      <c r="J264">
        <f t="shared" si="51"/>
        <v>6.5</v>
      </c>
      <c r="K264" t="s">
        <v>131</v>
      </c>
      <c r="L264" t="s">
        <v>16</v>
      </c>
      <c r="M264" t="str">
        <f t="shared" si="48"/>
        <v>Control</v>
      </c>
      <c r="R264" t="s">
        <v>193</v>
      </c>
      <c r="S264" t="s">
        <v>29</v>
      </c>
      <c r="T264" t="s">
        <v>31</v>
      </c>
      <c r="U264" t="s">
        <v>211</v>
      </c>
      <c r="W264" s="1">
        <v>2.2999999999999999E-7</v>
      </c>
      <c r="Y264">
        <f t="shared" si="52"/>
        <v>12.25</v>
      </c>
      <c r="Z264"/>
      <c r="AA264" t="s">
        <v>21</v>
      </c>
      <c r="AB264" t="s">
        <v>285</v>
      </c>
    </row>
    <row r="265" spans="1:28" x14ac:dyDescent="0.35">
      <c r="A265" t="s">
        <v>130</v>
      </c>
      <c r="B265" t="s">
        <v>19</v>
      </c>
      <c r="C265" t="s">
        <v>20</v>
      </c>
      <c r="D265" t="s">
        <v>11</v>
      </c>
      <c r="E265" t="s">
        <v>14</v>
      </c>
      <c r="F265" t="s">
        <v>15</v>
      </c>
      <c r="G265" t="s">
        <v>15</v>
      </c>
      <c r="H265" t="s">
        <v>15</v>
      </c>
      <c r="I265" t="s">
        <v>242</v>
      </c>
      <c r="J265">
        <f t="shared" si="51"/>
        <v>6.5</v>
      </c>
      <c r="K265" t="s">
        <v>131</v>
      </c>
      <c r="L265" t="s">
        <v>131</v>
      </c>
      <c r="M265" t="str">
        <f t="shared" si="48"/>
        <v>Stress</v>
      </c>
      <c r="R265" t="s">
        <v>193</v>
      </c>
      <c r="S265" t="s">
        <v>29</v>
      </c>
      <c r="T265" t="s">
        <v>31</v>
      </c>
      <c r="U265" t="s">
        <v>211</v>
      </c>
      <c r="W265" s="1">
        <v>1.6E-7</v>
      </c>
      <c r="Y265">
        <f t="shared" si="52"/>
        <v>12.25</v>
      </c>
      <c r="Z265"/>
      <c r="AA265" t="s">
        <v>21</v>
      </c>
      <c r="AB265" t="s">
        <v>285</v>
      </c>
    </row>
    <row r="266" spans="1:28" x14ac:dyDescent="0.35">
      <c r="A266" t="s">
        <v>130</v>
      </c>
      <c r="B266" t="s">
        <v>19</v>
      </c>
      <c r="C266" t="s">
        <v>20</v>
      </c>
      <c r="D266" t="s">
        <v>11</v>
      </c>
      <c r="E266" t="s">
        <v>14</v>
      </c>
      <c r="F266" t="s">
        <v>15</v>
      </c>
      <c r="G266" t="s">
        <v>15</v>
      </c>
      <c r="H266" t="s">
        <v>15</v>
      </c>
      <c r="I266" t="s">
        <v>242</v>
      </c>
      <c r="J266">
        <f t="shared" si="51"/>
        <v>6.5</v>
      </c>
      <c r="K266" t="s">
        <v>131</v>
      </c>
      <c r="L266" t="s">
        <v>16</v>
      </c>
      <c r="M266" t="str">
        <f t="shared" si="48"/>
        <v>Control</v>
      </c>
      <c r="R266" t="s">
        <v>193</v>
      </c>
      <c r="S266" t="s">
        <v>29</v>
      </c>
      <c r="T266" t="s">
        <v>31</v>
      </c>
      <c r="U266" t="s">
        <v>211</v>
      </c>
      <c r="W266" s="1">
        <v>5.6999999999999994E-7</v>
      </c>
      <c r="Y266">
        <f t="shared" si="52"/>
        <v>12.25</v>
      </c>
      <c r="Z266"/>
      <c r="AA266" t="s">
        <v>21</v>
      </c>
      <c r="AB266" t="s">
        <v>285</v>
      </c>
    </row>
    <row r="267" spans="1:28" x14ac:dyDescent="0.35">
      <c r="A267" t="s">
        <v>130</v>
      </c>
      <c r="B267" t="s">
        <v>19</v>
      </c>
      <c r="C267" t="s">
        <v>20</v>
      </c>
      <c r="D267" t="s">
        <v>11</v>
      </c>
      <c r="E267" t="s">
        <v>14</v>
      </c>
      <c r="F267" t="s">
        <v>15</v>
      </c>
      <c r="G267" t="s">
        <v>15</v>
      </c>
      <c r="H267" t="s">
        <v>15</v>
      </c>
      <c r="I267" t="s">
        <v>242</v>
      </c>
      <c r="J267">
        <f t="shared" si="51"/>
        <v>6.5</v>
      </c>
      <c r="K267" t="s">
        <v>131</v>
      </c>
      <c r="L267" t="s">
        <v>131</v>
      </c>
      <c r="M267" t="str">
        <f t="shared" si="48"/>
        <v>Stress</v>
      </c>
      <c r="R267" t="s">
        <v>193</v>
      </c>
      <c r="S267" t="s">
        <v>29</v>
      </c>
      <c r="T267" t="s">
        <v>31</v>
      </c>
      <c r="U267" t="s">
        <v>211</v>
      </c>
      <c r="W267" s="1">
        <v>4.5999999999999999E-7</v>
      </c>
      <c r="Y267">
        <f t="shared" si="52"/>
        <v>12.25</v>
      </c>
      <c r="Z267"/>
      <c r="AA267" t="s">
        <v>21</v>
      </c>
      <c r="AB267" t="s">
        <v>285</v>
      </c>
    </row>
    <row r="268" spans="1:28" x14ac:dyDescent="0.35">
      <c r="A268" t="s">
        <v>130</v>
      </c>
      <c r="B268" t="s">
        <v>19</v>
      </c>
      <c r="C268" t="s">
        <v>20</v>
      </c>
      <c r="D268" t="s">
        <v>11</v>
      </c>
      <c r="E268" t="s">
        <v>14</v>
      </c>
      <c r="F268" t="s">
        <v>15</v>
      </c>
      <c r="G268" t="s">
        <v>15</v>
      </c>
      <c r="H268" t="s">
        <v>15</v>
      </c>
      <c r="I268" t="s">
        <v>242</v>
      </c>
      <c r="J268">
        <f t="shared" si="51"/>
        <v>6.5</v>
      </c>
      <c r="K268" t="s">
        <v>131</v>
      </c>
      <c r="L268" t="s">
        <v>16</v>
      </c>
      <c r="M268" t="str">
        <f t="shared" si="48"/>
        <v>Control</v>
      </c>
      <c r="R268" t="s">
        <v>193</v>
      </c>
      <c r="S268" t="s">
        <v>29</v>
      </c>
      <c r="T268" t="s">
        <v>31</v>
      </c>
      <c r="U268" t="s">
        <v>211</v>
      </c>
      <c r="W268" s="1">
        <v>1.1000000000000001E-6</v>
      </c>
      <c r="Y268">
        <f t="shared" si="52"/>
        <v>12.25</v>
      </c>
      <c r="Z268"/>
      <c r="AA268" t="s">
        <v>21</v>
      </c>
      <c r="AB268" t="s">
        <v>285</v>
      </c>
    </row>
    <row r="269" spans="1:28" x14ac:dyDescent="0.35">
      <c r="A269" t="s">
        <v>130</v>
      </c>
      <c r="B269" t="s">
        <v>19</v>
      </c>
      <c r="C269" t="s">
        <v>20</v>
      </c>
      <c r="D269" t="s">
        <v>11</v>
      </c>
      <c r="E269" t="s">
        <v>14</v>
      </c>
      <c r="F269" t="s">
        <v>15</v>
      </c>
      <c r="G269" t="s">
        <v>15</v>
      </c>
      <c r="H269" t="s">
        <v>15</v>
      </c>
      <c r="I269" t="s">
        <v>242</v>
      </c>
      <c r="J269">
        <f t="shared" si="51"/>
        <v>6.5</v>
      </c>
      <c r="K269" t="s">
        <v>131</v>
      </c>
      <c r="L269" t="s">
        <v>131</v>
      </c>
      <c r="M269" t="str">
        <f t="shared" si="48"/>
        <v>Stress</v>
      </c>
      <c r="R269" t="s">
        <v>193</v>
      </c>
      <c r="S269" t="s">
        <v>29</v>
      </c>
      <c r="T269" t="s">
        <v>31</v>
      </c>
      <c r="U269" t="s">
        <v>211</v>
      </c>
      <c r="W269" s="1">
        <v>6.9999999999999997E-7</v>
      </c>
      <c r="Y269">
        <f t="shared" si="52"/>
        <v>12.25</v>
      </c>
      <c r="Z269"/>
      <c r="AA269" t="s">
        <v>21</v>
      </c>
      <c r="AB269" t="s">
        <v>285</v>
      </c>
    </row>
    <row r="270" spans="1:28" x14ac:dyDescent="0.35">
      <c r="A270" t="s">
        <v>130</v>
      </c>
      <c r="B270" t="s">
        <v>19</v>
      </c>
      <c r="C270" t="s">
        <v>20</v>
      </c>
      <c r="D270" t="s">
        <v>11</v>
      </c>
      <c r="E270" t="s">
        <v>14</v>
      </c>
      <c r="F270" t="s">
        <v>15</v>
      </c>
      <c r="G270" t="s">
        <v>15</v>
      </c>
      <c r="H270" t="s">
        <v>15</v>
      </c>
      <c r="I270" t="s">
        <v>242</v>
      </c>
      <c r="J270">
        <f t="shared" si="51"/>
        <v>6.5</v>
      </c>
      <c r="K270" t="s">
        <v>131</v>
      </c>
      <c r="L270" t="s">
        <v>16</v>
      </c>
      <c r="M270" t="str">
        <f t="shared" si="48"/>
        <v>Control</v>
      </c>
      <c r="R270" t="s">
        <v>193</v>
      </c>
      <c r="S270" t="s">
        <v>29</v>
      </c>
      <c r="T270" t="s">
        <v>31</v>
      </c>
      <c r="U270" t="s">
        <v>212</v>
      </c>
      <c r="W270">
        <f>+AVERAGE(0.0172,0.0245)*0.000001</f>
        <v>2.0849999999999998E-8</v>
      </c>
      <c r="Y270">
        <f t="shared" si="52"/>
        <v>12.25</v>
      </c>
      <c r="Z270"/>
      <c r="AA270" t="s">
        <v>21</v>
      </c>
      <c r="AB270" t="s">
        <v>285</v>
      </c>
    </row>
    <row r="271" spans="1:28" x14ac:dyDescent="0.35">
      <c r="A271" t="s">
        <v>130</v>
      </c>
      <c r="B271" t="s">
        <v>19</v>
      </c>
      <c r="C271" t="s">
        <v>20</v>
      </c>
      <c r="D271" t="s">
        <v>11</v>
      </c>
      <c r="E271" t="s">
        <v>14</v>
      </c>
      <c r="F271" t="s">
        <v>15</v>
      </c>
      <c r="G271" t="s">
        <v>15</v>
      </c>
      <c r="H271" t="s">
        <v>15</v>
      </c>
      <c r="I271" t="s">
        <v>242</v>
      </c>
      <c r="J271">
        <f t="shared" si="51"/>
        <v>6.5</v>
      </c>
      <c r="K271" t="s">
        <v>131</v>
      </c>
      <c r="L271" t="s">
        <v>131</v>
      </c>
      <c r="M271" t="str">
        <f t="shared" si="48"/>
        <v>Stress</v>
      </c>
      <c r="R271" t="s">
        <v>193</v>
      </c>
      <c r="S271" t="s">
        <v>29</v>
      </c>
      <c r="T271" t="s">
        <v>31</v>
      </c>
      <c r="U271" t="s">
        <v>212</v>
      </c>
      <c r="W271">
        <f>+AVERAGE(0.0138,0.0197)*0.000001</f>
        <v>1.6750000000000001E-8</v>
      </c>
      <c r="Y271">
        <f t="shared" si="52"/>
        <v>12.25</v>
      </c>
      <c r="Z271"/>
      <c r="AA271" t="s">
        <v>21</v>
      </c>
      <c r="AB271" t="s">
        <v>285</v>
      </c>
    </row>
    <row r="272" spans="1:28" x14ac:dyDescent="0.35">
      <c r="A272" t="s">
        <v>132</v>
      </c>
      <c r="B272" t="s">
        <v>138</v>
      </c>
      <c r="C272" t="s">
        <v>120</v>
      </c>
      <c r="D272" t="s">
        <v>121</v>
      </c>
      <c r="E272" t="s">
        <v>108</v>
      </c>
      <c r="F272" t="s">
        <v>109</v>
      </c>
      <c r="G272" t="s">
        <v>109</v>
      </c>
      <c r="H272" t="s">
        <v>109</v>
      </c>
      <c r="I272" t="s">
        <v>109</v>
      </c>
      <c r="J272">
        <f>14+7+7</f>
        <v>28</v>
      </c>
      <c r="K272" t="s">
        <v>113</v>
      </c>
      <c r="L272" t="s">
        <v>16</v>
      </c>
      <c r="M272" t="str">
        <f t="shared" si="48"/>
        <v>Control</v>
      </c>
      <c r="R272" t="s">
        <v>193</v>
      </c>
      <c r="S272" t="s">
        <v>112</v>
      </c>
      <c r="T272" t="s">
        <v>26</v>
      </c>
      <c r="U272" t="s">
        <v>211</v>
      </c>
      <c r="W272" s="1">
        <f>[31]Dubrovsky_etal_1998_Fig4!B2</f>
        <v>2.42530755711775E-7</v>
      </c>
      <c r="Y272">
        <v>5</v>
      </c>
      <c r="Z272"/>
      <c r="AA272" t="s">
        <v>51</v>
      </c>
      <c r="AB272" t="s">
        <v>285</v>
      </c>
    </row>
    <row r="273" spans="1:28" x14ac:dyDescent="0.35">
      <c r="A273" t="s">
        <v>132</v>
      </c>
      <c r="B273" t="s">
        <v>138</v>
      </c>
      <c r="C273" t="s">
        <v>120</v>
      </c>
      <c r="D273" t="s">
        <v>121</v>
      </c>
      <c r="E273" t="s">
        <v>108</v>
      </c>
      <c r="F273" t="s">
        <v>109</v>
      </c>
      <c r="G273" t="s">
        <v>109</v>
      </c>
      <c r="H273" t="s">
        <v>109</v>
      </c>
      <c r="I273" t="s">
        <v>109</v>
      </c>
      <c r="J273">
        <f>14+7+7</f>
        <v>28</v>
      </c>
      <c r="K273" t="s">
        <v>113</v>
      </c>
      <c r="L273" t="s">
        <v>133</v>
      </c>
      <c r="M273" t="str">
        <f t="shared" si="48"/>
        <v>Stress</v>
      </c>
      <c r="R273" t="s">
        <v>193</v>
      </c>
      <c r="S273" t="s">
        <v>112</v>
      </c>
      <c r="T273" t="s">
        <v>26</v>
      </c>
      <c r="U273" t="s">
        <v>211</v>
      </c>
      <c r="W273" s="1">
        <f>[31]Dubrovsky_etal_1998_Fig4!B3</f>
        <v>1.14938488576449E-7</v>
      </c>
      <c r="Y273">
        <v>5</v>
      </c>
      <c r="Z273"/>
      <c r="AA273" t="s">
        <v>51</v>
      </c>
      <c r="AB273" t="s">
        <v>285</v>
      </c>
    </row>
    <row r="274" spans="1:28" x14ac:dyDescent="0.35">
      <c r="A274" t="s">
        <v>132</v>
      </c>
      <c r="B274" t="s">
        <v>138</v>
      </c>
      <c r="C274" t="s">
        <v>120</v>
      </c>
      <c r="D274" t="s">
        <v>121</v>
      </c>
      <c r="E274" t="s">
        <v>108</v>
      </c>
      <c r="F274" t="s">
        <v>109</v>
      </c>
      <c r="G274" t="s">
        <v>109</v>
      </c>
      <c r="H274" t="s">
        <v>109</v>
      </c>
      <c r="I274" t="s">
        <v>109</v>
      </c>
      <c r="J274">
        <f>14+14</f>
        <v>28</v>
      </c>
      <c r="K274" t="s">
        <v>113</v>
      </c>
      <c r="L274" t="s">
        <v>134</v>
      </c>
      <c r="M274" t="str">
        <f t="shared" si="48"/>
        <v>Stress</v>
      </c>
      <c r="R274" t="s">
        <v>193</v>
      </c>
      <c r="S274" t="s">
        <v>112</v>
      </c>
      <c r="T274" t="s">
        <v>26</v>
      </c>
      <c r="U274" t="s">
        <v>211</v>
      </c>
      <c r="W274" s="1">
        <f>[31]Dubrovsky_etal_1998_Fig4!B5</f>
        <v>1.3339191564147599E-7</v>
      </c>
      <c r="Y274">
        <v>5</v>
      </c>
      <c r="Z274"/>
      <c r="AA274" t="s">
        <v>51</v>
      </c>
      <c r="AB274" t="s">
        <v>285</v>
      </c>
    </row>
    <row r="275" spans="1:28" x14ac:dyDescent="0.35">
      <c r="A275" t="s">
        <v>135</v>
      </c>
      <c r="B275" t="s">
        <v>9</v>
      </c>
      <c r="C275" t="s">
        <v>10</v>
      </c>
      <c r="D275" t="s">
        <v>11</v>
      </c>
      <c r="E275" t="s">
        <v>12</v>
      </c>
      <c r="F275" t="s">
        <v>13</v>
      </c>
      <c r="G275" t="s">
        <v>13</v>
      </c>
      <c r="H275" t="s">
        <v>13</v>
      </c>
      <c r="I275" t="s">
        <v>242</v>
      </c>
      <c r="J275">
        <f>1+AVERAGE(4,5)</f>
        <v>5.5</v>
      </c>
      <c r="K275" t="s">
        <v>231</v>
      </c>
      <c r="L275" t="s">
        <v>16</v>
      </c>
      <c r="M275" t="str">
        <f t="shared" si="48"/>
        <v>Control</v>
      </c>
      <c r="N275" t="s">
        <v>16</v>
      </c>
      <c r="O275" t="str">
        <f t="shared" ref="O275:O284" si="53">+IF(N275="Control", "Control", "Stress")</f>
        <v>Control</v>
      </c>
      <c r="R275" t="s">
        <v>193</v>
      </c>
      <c r="S275" t="s">
        <v>25</v>
      </c>
      <c r="T275" t="s">
        <v>26</v>
      </c>
      <c r="U275" t="s">
        <v>212</v>
      </c>
      <c r="W275" s="1">
        <v>4.0000000000000001E-8</v>
      </c>
      <c r="X275" s="1"/>
      <c r="Z275"/>
      <c r="AA275" t="s">
        <v>136</v>
      </c>
      <c r="AB275" t="s">
        <v>285</v>
      </c>
    </row>
    <row r="276" spans="1:28" x14ac:dyDescent="0.35">
      <c r="A276" t="s">
        <v>135</v>
      </c>
      <c r="B276" t="s">
        <v>9</v>
      </c>
      <c r="C276" t="s">
        <v>10</v>
      </c>
      <c r="D276" t="s">
        <v>11</v>
      </c>
      <c r="E276" t="s">
        <v>12</v>
      </c>
      <c r="F276" t="s">
        <v>13</v>
      </c>
      <c r="G276" t="s">
        <v>13</v>
      </c>
      <c r="H276" t="s">
        <v>13</v>
      </c>
      <c r="I276" t="s">
        <v>242</v>
      </c>
      <c r="J276">
        <f t="shared" ref="J276:J278" si="54">1+AVERAGE(4,5)</f>
        <v>5.5</v>
      </c>
      <c r="K276" t="s">
        <v>231</v>
      </c>
      <c r="L276" t="s">
        <v>238</v>
      </c>
      <c r="M276" t="str">
        <f t="shared" si="48"/>
        <v>Stress</v>
      </c>
      <c r="N276" t="s">
        <v>16</v>
      </c>
      <c r="O276" t="str">
        <f t="shared" si="53"/>
        <v>Control</v>
      </c>
      <c r="R276" t="s">
        <v>193</v>
      </c>
      <c r="S276" t="s">
        <v>25</v>
      </c>
      <c r="T276" t="s">
        <v>26</v>
      </c>
      <c r="U276" t="s">
        <v>212</v>
      </c>
      <c r="W276" s="1">
        <v>6.9999999999999998E-9</v>
      </c>
      <c r="Z276"/>
      <c r="AA276" t="s">
        <v>136</v>
      </c>
      <c r="AB276" t="s">
        <v>285</v>
      </c>
    </row>
    <row r="277" spans="1:28" x14ac:dyDescent="0.35">
      <c r="A277" t="s">
        <v>135</v>
      </c>
      <c r="B277" t="s">
        <v>9</v>
      </c>
      <c r="C277" t="s">
        <v>10</v>
      </c>
      <c r="D277" t="s">
        <v>11</v>
      </c>
      <c r="E277" t="s">
        <v>12</v>
      </c>
      <c r="F277" t="s">
        <v>13</v>
      </c>
      <c r="G277" t="s">
        <v>13</v>
      </c>
      <c r="H277" t="s">
        <v>13</v>
      </c>
      <c r="I277" t="s">
        <v>242</v>
      </c>
      <c r="J277">
        <f t="shared" si="54"/>
        <v>5.5</v>
      </c>
      <c r="K277" t="s">
        <v>231</v>
      </c>
      <c r="L277" t="s">
        <v>16</v>
      </c>
      <c r="M277" t="str">
        <f t="shared" si="48"/>
        <v>Control</v>
      </c>
      <c r="N277" t="s">
        <v>210</v>
      </c>
      <c r="O277" t="str">
        <f t="shared" si="53"/>
        <v>Stress</v>
      </c>
      <c r="R277" t="s">
        <v>193</v>
      </c>
      <c r="S277" t="s">
        <v>25</v>
      </c>
      <c r="T277" t="s">
        <v>26</v>
      </c>
      <c r="U277" t="s">
        <v>212</v>
      </c>
      <c r="W277" s="1">
        <v>2.2000000000000001E-7</v>
      </c>
      <c r="Z277"/>
      <c r="AA277" t="s">
        <v>136</v>
      </c>
      <c r="AB277" t="s">
        <v>285</v>
      </c>
    </row>
    <row r="278" spans="1:28" x14ac:dyDescent="0.35">
      <c r="A278" t="s">
        <v>135</v>
      </c>
      <c r="B278" t="s">
        <v>9</v>
      </c>
      <c r="C278" t="s">
        <v>10</v>
      </c>
      <c r="D278" t="s">
        <v>11</v>
      </c>
      <c r="E278" t="s">
        <v>12</v>
      </c>
      <c r="F278" t="s">
        <v>13</v>
      </c>
      <c r="G278" t="s">
        <v>13</v>
      </c>
      <c r="H278" t="s">
        <v>13</v>
      </c>
      <c r="I278" t="s">
        <v>242</v>
      </c>
      <c r="J278">
        <f t="shared" si="54"/>
        <v>5.5</v>
      </c>
      <c r="K278" t="s">
        <v>231</v>
      </c>
      <c r="L278" t="s">
        <v>238</v>
      </c>
      <c r="M278" t="str">
        <f t="shared" si="48"/>
        <v>Stress</v>
      </c>
      <c r="N278" t="s">
        <v>210</v>
      </c>
      <c r="O278" t="str">
        <f t="shared" si="53"/>
        <v>Stress</v>
      </c>
      <c r="R278" t="s">
        <v>193</v>
      </c>
      <c r="S278" t="s">
        <v>25</v>
      </c>
      <c r="T278" t="s">
        <v>26</v>
      </c>
      <c r="U278" t="s">
        <v>212</v>
      </c>
      <c r="W278" s="1">
        <v>1.2E-8</v>
      </c>
      <c r="Z278"/>
      <c r="AA278" t="s">
        <v>136</v>
      </c>
      <c r="AB278" t="s">
        <v>285</v>
      </c>
    </row>
    <row r="279" spans="1:28" x14ac:dyDescent="0.35">
      <c r="A279" t="s">
        <v>171</v>
      </c>
      <c r="B279" t="s">
        <v>9</v>
      </c>
      <c r="C279" t="s">
        <v>10</v>
      </c>
      <c r="D279" t="s">
        <v>11</v>
      </c>
      <c r="E279" t="s">
        <v>12</v>
      </c>
      <c r="F279" t="s">
        <v>13</v>
      </c>
      <c r="G279" t="s">
        <v>13</v>
      </c>
      <c r="H279" t="s">
        <v>13</v>
      </c>
      <c r="I279" t="s">
        <v>242</v>
      </c>
      <c r="J279">
        <f>7+1</f>
        <v>8</v>
      </c>
      <c r="K279" t="s">
        <v>233</v>
      </c>
      <c r="L279" t="s">
        <v>16</v>
      </c>
      <c r="M279" t="str">
        <f t="shared" si="48"/>
        <v>Control</v>
      </c>
      <c r="N279" t="s">
        <v>16</v>
      </c>
      <c r="O279" t="str">
        <f t="shared" si="53"/>
        <v>Control</v>
      </c>
      <c r="P279" t="s">
        <v>196</v>
      </c>
      <c r="Q279" t="s">
        <v>243</v>
      </c>
      <c r="R279" t="s">
        <v>193</v>
      </c>
      <c r="S279" t="s">
        <v>44</v>
      </c>
      <c r="T279" t="s">
        <v>31</v>
      </c>
      <c r="U279" t="s">
        <v>211</v>
      </c>
      <c r="W279" s="1">
        <v>4.7999999999999996E-7</v>
      </c>
      <c r="Z279"/>
      <c r="AA279" t="s">
        <v>21</v>
      </c>
      <c r="AB279" t="s">
        <v>285</v>
      </c>
    </row>
    <row r="280" spans="1:28" x14ac:dyDescent="0.35">
      <c r="A280" t="s">
        <v>171</v>
      </c>
      <c r="B280" t="s">
        <v>9</v>
      </c>
      <c r="C280" t="s">
        <v>10</v>
      </c>
      <c r="D280" t="s">
        <v>11</v>
      </c>
      <c r="E280" t="s">
        <v>12</v>
      </c>
      <c r="F280" t="s">
        <v>13</v>
      </c>
      <c r="G280" t="s">
        <v>13</v>
      </c>
      <c r="H280" t="s">
        <v>13</v>
      </c>
      <c r="I280" t="s">
        <v>242</v>
      </c>
      <c r="J280">
        <f t="shared" ref="J280:J284" si="55">7+1</f>
        <v>8</v>
      </c>
      <c r="K280" t="s">
        <v>233</v>
      </c>
      <c r="L280" t="s">
        <v>198</v>
      </c>
      <c r="M280" t="str">
        <f t="shared" si="48"/>
        <v>Stress</v>
      </c>
      <c r="N280" t="s">
        <v>16</v>
      </c>
      <c r="O280" t="str">
        <f t="shared" si="53"/>
        <v>Control</v>
      </c>
      <c r="P280" t="s">
        <v>196</v>
      </c>
      <c r="Q280" t="s">
        <v>243</v>
      </c>
      <c r="R280" t="s">
        <v>193</v>
      </c>
      <c r="S280" t="s">
        <v>44</v>
      </c>
      <c r="T280" t="s">
        <v>31</v>
      </c>
      <c r="U280" t="s">
        <v>211</v>
      </c>
      <c r="W280" s="1">
        <v>1.8999999999999998E-7</v>
      </c>
      <c r="Z280"/>
      <c r="AA280" t="s">
        <v>21</v>
      </c>
      <c r="AB280" t="s">
        <v>285</v>
      </c>
    </row>
    <row r="281" spans="1:28" x14ac:dyDescent="0.35">
      <c r="A281" t="s">
        <v>171</v>
      </c>
      <c r="B281" t="s">
        <v>9</v>
      </c>
      <c r="C281" t="s">
        <v>10</v>
      </c>
      <c r="D281" t="s">
        <v>11</v>
      </c>
      <c r="E281" t="s">
        <v>12</v>
      </c>
      <c r="F281" t="s">
        <v>13</v>
      </c>
      <c r="G281" t="s">
        <v>13</v>
      </c>
      <c r="H281" t="s">
        <v>13</v>
      </c>
      <c r="I281" t="s">
        <v>242</v>
      </c>
      <c r="J281">
        <f t="shared" si="55"/>
        <v>8</v>
      </c>
      <c r="K281" t="s">
        <v>233</v>
      </c>
      <c r="L281" t="s">
        <v>198</v>
      </c>
      <c r="M281" t="str">
        <f t="shared" si="48"/>
        <v>Stress</v>
      </c>
      <c r="N281" t="s">
        <v>232</v>
      </c>
      <c r="O281" t="str">
        <f t="shared" si="53"/>
        <v>Stress</v>
      </c>
      <c r="P281" t="s">
        <v>196</v>
      </c>
      <c r="Q281" t="s">
        <v>243</v>
      </c>
      <c r="R281" t="s">
        <v>193</v>
      </c>
      <c r="S281" t="s">
        <v>44</v>
      </c>
      <c r="T281" t="s">
        <v>31</v>
      </c>
      <c r="U281" t="s">
        <v>211</v>
      </c>
      <c r="W281" s="1">
        <v>8.0000000000000002E-8</v>
      </c>
      <c r="Z281"/>
      <c r="AA281" t="s">
        <v>21</v>
      </c>
      <c r="AB281" t="s">
        <v>285</v>
      </c>
    </row>
    <row r="282" spans="1:28" x14ac:dyDescent="0.35">
      <c r="A282" t="s">
        <v>171</v>
      </c>
      <c r="B282" t="s">
        <v>9</v>
      </c>
      <c r="C282" t="s">
        <v>10</v>
      </c>
      <c r="D282" t="s">
        <v>11</v>
      </c>
      <c r="E282" t="s">
        <v>12</v>
      </c>
      <c r="F282" t="s">
        <v>13</v>
      </c>
      <c r="G282" t="s">
        <v>13</v>
      </c>
      <c r="H282" t="s">
        <v>13</v>
      </c>
      <c r="I282" t="s">
        <v>242</v>
      </c>
      <c r="J282">
        <f t="shared" si="55"/>
        <v>8</v>
      </c>
      <c r="K282" t="s">
        <v>233</v>
      </c>
      <c r="L282" t="s">
        <v>16</v>
      </c>
      <c r="M282" t="str">
        <f t="shared" si="48"/>
        <v>Control</v>
      </c>
      <c r="N282" t="s">
        <v>16</v>
      </c>
      <c r="O282" t="str">
        <f t="shared" si="53"/>
        <v>Control</v>
      </c>
      <c r="P282" t="s">
        <v>197</v>
      </c>
      <c r="Q282" t="s">
        <v>243</v>
      </c>
      <c r="R282" t="s">
        <v>193</v>
      </c>
      <c r="S282" t="s">
        <v>44</v>
      </c>
      <c r="T282" t="s">
        <v>31</v>
      </c>
      <c r="U282" t="s">
        <v>211</v>
      </c>
      <c r="W282" s="1">
        <v>2.1E-7</v>
      </c>
      <c r="Z282"/>
      <c r="AA282" t="s">
        <v>21</v>
      </c>
      <c r="AB282" t="s">
        <v>285</v>
      </c>
    </row>
    <row r="283" spans="1:28" x14ac:dyDescent="0.35">
      <c r="A283" t="s">
        <v>171</v>
      </c>
      <c r="B283" t="s">
        <v>9</v>
      </c>
      <c r="C283" t="s">
        <v>10</v>
      </c>
      <c r="D283" t="s">
        <v>11</v>
      </c>
      <c r="E283" t="s">
        <v>12</v>
      </c>
      <c r="F283" t="s">
        <v>13</v>
      </c>
      <c r="G283" t="s">
        <v>13</v>
      </c>
      <c r="H283" t="s">
        <v>13</v>
      </c>
      <c r="I283" t="s">
        <v>242</v>
      </c>
      <c r="J283">
        <f t="shared" si="55"/>
        <v>8</v>
      </c>
      <c r="K283" t="s">
        <v>233</v>
      </c>
      <c r="L283" t="s">
        <v>198</v>
      </c>
      <c r="M283" t="str">
        <f t="shared" si="48"/>
        <v>Stress</v>
      </c>
      <c r="N283" t="s">
        <v>16</v>
      </c>
      <c r="O283" t="str">
        <f t="shared" si="53"/>
        <v>Control</v>
      </c>
      <c r="P283" t="s">
        <v>197</v>
      </c>
      <c r="Q283" t="s">
        <v>243</v>
      </c>
      <c r="R283" t="s">
        <v>193</v>
      </c>
      <c r="S283" t="s">
        <v>44</v>
      </c>
      <c r="T283" t="s">
        <v>31</v>
      </c>
      <c r="U283" t="s">
        <v>211</v>
      </c>
      <c r="W283" s="1">
        <v>2.1E-7</v>
      </c>
      <c r="Z283"/>
      <c r="AA283" t="s">
        <v>21</v>
      </c>
      <c r="AB283" t="s">
        <v>285</v>
      </c>
    </row>
    <row r="284" spans="1:28" x14ac:dyDescent="0.35">
      <c r="A284" t="s">
        <v>171</v>
      </c>
      <c r="B284" t="s">
        <v>9</v>
      </c>
      <c r="C284" t="s">
        <v>10</v>
      </c>
      <c r="D284" t="s">
        <v>11</v>
      </c>
      <c r="E284" t="s">
        <v>12</v>
      </c>
      <c r="F284" t="s">
        <v>13</v>
      </c>
      <c r="G284" t="s">
        <v>13</v>
      </c>
      <c r="H284" t="s">
        <v>13</v>
      </c>
      <c r="I284" t="s">
        <v>242</v>
      </c>
      <c r="J284">
        <f t="shared" si="55"/>
        <v>8</v>
      </c>
      <c r="K284" t="s">
        <v>233</v>
      </c>
      <c r="L284" t="s">
        <v>198</v>
      </c>
      <c r="M284" t="str">
        <f t="shared" si="48"/>
        <v>Stress</v>
      </c>
      <c r="N284" t="s">
        <v>232</v>
      </c>
      <c r="O284" t="str">
        <f t="shared" si="53"/>
        <v>Stress</v>
      </c>
      <c r="P284" t="s">
        <v>197</v>
      </c>
      <c r="Q284" t="s">
        <v>243</v>
      </c>
      <c r="R284" t="s">
        <v>193</v>
      </c>
      <c r="S284" t="s">
        <v>44</v>
      </c>
      <c r="T284" t="s">
        <v>31</v>
      </c>
      <c r="U284" t="s">
        <v>211</v>
      </c>
      <c r="W284" s="1">
        <v>1.6999999999999999E-7</v>
      </c>
      <c r="Z284"/>
      <c r="AA284" t="s">
        <v>21</v>
      </c>
      <c r="AB284" t="s">
        <v>285</v>
      </c>
    </row>
    <row r="285" spans="1:28" x14ac:dyDescent="0.35">
      <c r="A285" t="s">
        <v>137</v>
      </c>
      <c r="B285" t="s">
        <v>138</v>
      </c>
      <c r="C285" t="s">
        <v>120</v>
      </c>
      <c r="D285" t="s">
        <v>121</v>
      </c>
      <c r="E285" t="s">
        <v>108</v>
      </c>
      <c r="F285" t="s">
        <v>109</v>
      </c>
      <c r="G285" t="s">
        <v>109</v>
      </c>
      <c r="H285" t="s">
        <v>109</v>
      </c>
      <c r="I285" t="s">
        <v>109</v>
      </c>
      <c r="J285">
        <v>40</v>
      </c>
      <c r="K285" t="s">
        <v>113</v>
      </c>
      <c r="L285" t="s">
        <v>16</v>
      </c>
      <c r="M285" t="str">
        <f t="shared" si="48"/>
        <v>Control</v>
      </c>
      <c r="R285" t="s">
        <v>193</v>
      </c>
      <c r="S285" t="s">
        <v>139</v>
      </c>
      <c r="T285" t="s">
        <v>26</v>
      </c>
      <c r="U285" t="s">
        <v>211</v>
      </c>
      <c r="W285" s="1">
        <f>'[32]North&amp;Nobel_1996_Fig2a'!B2</f>
        <v>1.8146341463414599E-7</v>
      </c>
      <c r="Z285"/>
      <c r="AA285" t="s">
        <v>51</v>
      </c>
      <c r="AB285" t="s">
        <v>285</v>
      </c>
    </row>
    <row r="286" spans="1:28" x14ac:dyDescent="0.35">
      <c r="A286" t="s">
        <v>137</v>
      </c>
      <c r="B286" t="s">
        <v>138</v>
      </c>
      <c r="C286" t="s">
        <v>120</v>
      </c>
      <c r="D286" t="s">
        <v>121</v>
      </c>
      <c r="E286" t="s">
        <v>108</v>
      </c>
      <c r="F286" t="s">
        <v>109</v>
      </c>
      <c r="G286" t="s">
        <v>109</v>
      </c>
      <c r="H286" t="s">
        <v>109</v>
      </c>
      <c r="I286" t="s">
        <v>109</v>
      </c>
      <c r="J286">
        <v>40</v>
      </c>
      <c r="K286" t="s">
        <v>113</v>
      </c>
      <c r="L286" t="s">
        <v>113</v>
      </c>
      <c r="M286" t="str">
        <f t="shared" si="48"/>
        <v>Stress</v>
      </c>
      <c r="R286" t="s">
        <v>193</v>
      </c>
      <c r="S286" t="s">
        <v>139</v>
      </c>
      <c r="T286" t="s">
        <v>26</v>
      </c>
      <c r="U286" t="s">
        <v>211</v>
      </c>
      <c r="W286" s="1">
        <f>'[32]North&amp;Nobel_1996_Fig2a'!B3</f>
        <v>1.45853658536585E-7</v>
      </c>
      <c r="Z286"/>
      <c r="AA286" t="s">
        <v>51</v>
      </c>
      <c r="AB286" t="s">
        <v>285</v>
      </c>
    </row>
    <row r="287" spans="1:28" x14ac:dyDescent="0.35">
      <c r="A287" t="s">
        <v>137</v>
      </c>
      <c r="B287" t="s">
        <v>138</v>
      </c>
      <c r="C287" t="s">
        <v>120</v>
      </c>
      <c r="D287" t="s">
        <v>121</v>
      </c>
      <c r="E287" t="s">
        <v>108</v>
      </c>
      <c r="F287" t="s">
        <v>109</v>
      </c>
      <c r="G287" t="s">
        <v>109</v>
      </c>
      <c r="H287" t="s">
        <v>109</v>
      </c>
      <c r="I287" t="s">
        <v>109</v>
      </c>
      <c r="J287">
        <v>40</v>
      </c>
      <c r="K287" t="s">
        <v>113</v>
      </c>
      <c r="L287" t="s">
        <v>16</v>
      </c>
      <c r="M287" t="str">
        <f t="shared" si="48"/>
        <v>Control</v>
      </c>
      <c r="R287" t="s">
        <v>193</v>
      </c>
      <c r="S287" t="s">
        <v>139</v>
      </c>
      <c r="T287" t="s">
        <v>110</v>
      </c>
      <c r="U287" t="s">
        <v>211</v>
      </c>
      <c r="W287" s="1">
        <f>'[32]North&amp;Nobel_1996_Fig2a'!B5</f>
        <v>2.3853658536585298E-7</v>
      </c>
      <c r="Z287"/>
      <c r="AA287" t="s">
        <v>51</v>
      </c>
      <c r="AB287" t="s">
        <v>285</v>
      </c>
    </row>
    <row r="288" spans="1:28" x14ac:dyDescent="0.35">
      <c r="A288" t="s">
        <v>137</v>
      </c>
      <c r="B288" t="s">
        <v>138</v>
      </c>
      <c r="C288" t="s">
        <v>120</v>
      </c>
      <c r="D288" t="s">
        <v>121</v>
      </c>
      <c r="E288" t="s">
        <v>108</v>
      </c>
      <c r="F288" t="s">
        <v>109</v>
      </c>
      <c r="G288" t="s">
        <v>109</v>
      </c>
      <c r="H288" t="s">
        <v>109</v>
      </c>
      <c r="I288" t="s">
        <v>109</v>
      </c>
      <c r="J288">
        <v>40</v>
      </c>
      <c r="K288" t="s">
        <v>113</v>
      </c>
      <c r="L288" t="s">
        <v>113</v>
      </c>
      <c r="M288" t="str">
        <f t="shared" si="48"/>
        <v>Stress</v>
      </c>
      <c r="R288" t="s">
        <v>193</v>
      </c>
      <c r="S288" t="s">
        <v>139</v>
      </c>
      <c r="T288" t="s">
        <v>110</v>
      </c>
      <c r="U288" t="s">
        <v>211</v>
      </c>
      <c r="W288" s="1">
        <f>'[32]North&amp;Nobel_1996_Fig2a'!B6</f>
        <v>4.2926829268292703E-8</v>
      </c>
      <c r="Z288"/>
      <c r="AA288" t="s">
        <v>51</v>
      </c>
      <c r="AB288" t="s">
        <v>285</v>
      </c>
    </row>
    <row r="289" spans="1:28" x14ac:dyDescent="0.35">
      <c r="A289" t="s">
        <v>137</v>
      </c>
      <c r="B289" t="s">
        <v>138</v>
      </c>
      <c r="C289" t="s">
        <v>120</v>
      </c>
      <c r="D289" t="s">
        <v>121</v>
      </c>
      <c r="E289" t="s">
        <v>108</v>
      </c>
      <c r="F289" t="s">
        <v>109</v>
      </c>
      <c r="G289" t="s">
        <v>109</v>
      </c>
      <c r="H289" t="s">
        <v>109</v>
      </c>
      <c r="I289" t="s">
        <v>109</v>
      </c>
      <c r="J289">
        <v>40</v>
      </c>
      <c r="K289" t="s">
        <v>113</v>
      </c>
      <c r="L289" t="s">
        <v>16</v>
      </c>
      <c r="M289" t="str">
        <f t="shared" si="48"/>
        <v>Control</v>
      </c>
      <c r="R289" t="s">
        <v>193</v>
      </c>
      <c r="S289" t="s">
        <v>139</v>
      </c>
      <c r="T289" t="s">
        <v>26</v>
      </c>
      <c r="U289" t="s">
        <v>211</v>
      </c>
      <c r="W289" s="1">
        <f>'[33]North&amp;Nobel_1996_Fig3'!A2</f>
        <v>1.8421052631578901E-7</v>
      </c>
      <c r="Z289"/>
      <c r="AA289" t="s">
        <v>51</v>
      </c>
      <c r="AB289" t="s">
        <v>284</v>
      </c>
    </row>
    <row r="290" spans="1:28" x14ac:dyDescent="0.35">
      <c r="A290" t="s">
        <v>137</v>
      </c>
      <c r="B290" t="s">
        <v>138</v>
      </c>
      <c r="C290" t="s">
        <v>120</v>
      </c>
      <c r="D290" t="s">
        <v>121</v>
      </c>
      <c r="E290" t="s">
        <v>108</v>
      </c>
      <c r="F290" t="s">
        <v>109</v>
      </c>
      <c r="G290" t="s">
        <v>109</v>
      </c>
      <c r="H290" t="s">
        <v>109</v>
      </c>
      <c r="I290" t="s">
        <v>109</v>
      </c>
      <c r="J290">
        <v>40</v>
      </c>
      <c r="K290" t="s">
        <v>113</v>
      </c>
      <c r="L290" t="s">
        <v>113</v>
      </c>
      <c r="M290" t="str">
        <f t="shared" si="48"/>
        <v>Stress</v>
      </c>
      <c r="R290" t="s">
        <v>193</v>
      </c>
      <c r="S290" t="s">
        <v>139</v>
      </c>
      <c r="T290" t="s">
        <v>26</v>
      </c>
      <c r="U290" t="s">
        <v>211</v>
      </c>
      <c r="W290" s="1">
        <f>'[33]North&amp;Nobel_1996_Fig3'!A3</f>
        <v>1.7204301075268699E-7</v>
      </c>
      <c r="Z290"/>
      <c r="AA290" t="s">
        <v>51</v>
      </c>
      <c r="AB290" t="s">
        <v>284</v>
      </c>
    </row>
    <row r="291" spans="1:28" x14ac:dyDescent="0.35">
      <c r="A291" t="s">
        <v>137</v>
      </c>
      <c r="B291" t="s">
        <v>138</v>
      </c>
      <c r="C291" t="s">
        <v>120</v>
      </c>
      <c r="D291" t="s">
        <v>121</v>
      </c>
      <c r="E291" t="s">
        <v>108</v>
      </c>
      <c r="F291" t="s">
        <v>109</v>
      </c>
      <c r="G291" t="s">
        <v>109</v>
      </c>
      <c r="H291" t="s">
        <v>109</v>
      </c>
      <c r="I291" t="s">
        <v>109</v>
      </c>
      <c r="J291">
        <v>40</v>
      </c>
      <c r="K291" t="s">
        <v>113</v>
      </c>
      <c r="L291" t="s">
        <v>16</v>
      </c>
      <c r="M291" t="str">
        <f t="shared" si="48"/>
        <v>Control</v>
      </c>
      <c r="R291" t="s">
        <v>193</v>
      </c>
      <c r="S291" t="s">
        <v>139</v>
      </c>
      <c r="T291" t="s">
        <v>110</v>
      </c>
      <c r="U291" t="s">
        <v>211</v>
      </c>
      <c r="W291" s="1">
        <f>'[33]North&amp;Nobel_1996_Fig3'!A5</f>
        <v>2.4736842105263099E-7</v>
      </c>
      <c r="Z291"/>
      <c r="AA291" t="s">
        <v>51</v>
      </c>
      <c r="AB291" t="s">
        <v>284</v>
      </c>
    </row>
    <row r="292" spans="1:28" x14ac:dyDescent="0.35">
      <c r="A292" t="s">
        <v>137</v>
      </c>
      <c r="B292" t="s">
        <v>138</v>
      </c>
      <c r="C292" t="s">
        <v>120</v>
      </c>
      <c r="D292" t="s">
        <v>121</v>
      </c>
      <c r="E292" t="s">
        <v>108</v>
      </c>
      <c r="F292" t="s">
        <v>109</v>
      </c>
      <c r="G292" t="s">
        <v>109</v>
      </c>
      <c r="H292" t="s">
        <v>109</v>
      </c>
      <c r="I292" t="s">
        <v>109</v>
      </c>
      <c r="J292">
        <v>40</v>
      </c>
      <c r="K292" t="s">
        <v>113</v>
      </c>
      <c r="L292" t="s">
        <v>113</v>
      </c>
      <c r="M292" t="str">
        <f t="shared" si="48"/>
        <v>Stress</v>
      </c>
      <c r="R292" t="s">
        <v>193</v>
      </c>
      <c r="S292" t="s">
        <v>139</v>
      </c>
      <c r="T292" t="s">
        <v>110</v>
      </c>
      <c r="U292" t="s">
        <v>211</v>
      </c>
      <c r="W292" s="1">
        <f>'[33]North&amp;Nobel_1996_Fig3'!A6</f>
        <v>3.7634408602150298E-8</v>
      </c>
      <c r="Z292"/>
      <c r="AA292" t="s">
        <v>51</v>
      </c>
      <c r="AB292" t="s">
        <v>284</v>
      </c>
    </row>
    <row r="293" spans="1:28" x14ac:dyDescent="0.35">
      <c r="A293" t="s">
        <v>140</v>
      </c>
      <c r="B293" t="s">
        <v>19</v>
      </c>
      <c r="C293" t="s">
        <v>20</v>
      </c>
      <c r="D293" t="s">
        <v>11</v>
      </c>
      <c r="E293" t="s">
        <v>14</v>
      </c>
      <c r="F293" t="s">
        <v>15</v>
      </c>
      <c r="G293" t="s">
        <v>15</v>
      </c>
      <c r="H293" t="s">
        <v>15</v>
      </c>
      <c r="I293" t="s">
        <v>242</v>
      </c>
      <c r="J293">
        <f>+AVERAGE(10,14)</f>
        <v>12</v>
      </c>
      <c r="K293" t="s">
        <v>281</v>
      </c>
      <c r="L293" t="s">
        <v>281</v>
      </c>
      <c r="M293" t="s">
        <v>281</v>
      </c>
      <c r="R293" t="s">
        <v>193</v>
      </c>
      <c r="S293" t="s">
        <v>29</v>
      </c>
      <c r="T293" t="s">
        <v>26</v>
      </c>
      <c r="U293" t="s">
        <v>211</v>
      </c>
      <c r="W293" s="1">
        <f>[34]Frensch_etal_1996_Fig2a!B2</f>
        <v>2.3500771936526101E-7</v>
      </c>
      <c r="Z293"/>
      <c r="AA293" t="s">
        <v>21</v>
      </c>
      <c r="AB293" t="s">
        <v>285</v>
      </c>
    </row>
    <row r="294" spans="1:28" x14ac:dyDescent="0.35">
      <c r="A294" t="s">
        <v>140</v>
      </c>
      <c r="B294" t="s">
        <v>19</v>
      </c>
      <c r="C294" t="s">
        <v>20</v>
      </c>
      <c r="D294" t="s">
        <v>11</v>
      </c>
      <c r="E294" t="s">
        <v>14</v>
      </c>
      <c r="F294" t="s">
        <v>15</v>
      </c>
      <c r="G294" t="s">
        <v>15</v>
      </c>
      <c r="H294" t="s">
        <v>15</v>
      </c>
      <c r="I294" t="s">
        <v>242</v>
      </c>
      <c r="J294">
        <f t="shared" ref="J294:J298" si="56">+AVERAGE(10,14)</f>
        <v>12</v>
      </c>
      <c r="K294" t="s">
        <v>281</v>
      </c>
      <c r="L294" t="s">
        <v>281</v>
      </c>
      <c r="M294" t="s">
        <v>281</v>
      </c>
      <c r="R294" t="s">
        <v>193</v>
      </c>
      <c r="S294" t="s">
        <v>29</v>
      </c>
      <c r="T294" t="s">
        <v>110</v>
      </c>
      <c r="U294" t="s">
        <v>211</v>
      </c>
      <c r="W294" s="1">
        <f>[34]Frensch_etal_1996_Fig2a!B3</f>
        <v>2.0639991086918401E-7</v>
      </c>
      <c r="Z294"/>
      <c r="AA294" t="s">
        <v>21</v>
      </c>
      <c r="AB294" t="s">
        <v>285</v>
      </c>
    </row>
    <row r="295" spans="1:28" x14ac:dyDescent="0.35">
      <c r="A295" t="s">
        <v>140</v>
      </c>
      <c r="B295" t="s">
        <v>19</v>
      </c>
      <c r="C295" t="s">
        <v>20</v>
      </c>
      <c r="D295" t="s">
        <v>11</v>
      </c>
      <c r="E295" t="s">
        <v>14</v>
      </c>
      <c r="F295" t="s">
        <v>15</v>
      </c>
      <c r="G295" t="s">
        <v>15</v>
      </c>
      <c r="H295" t="s">
        <v>15</v>
      </c>
      <c r="I295" t="s">
        <v>242</v>
      </c>
      <c r="J295">
        <f t="shared" si="56"/>
        <v>12</v>
      </c>
      <c r="K295" t="s">
        <v>281</v>
      </c>
      <c r="L295" t="s">
        <v>281</v>
      </c>
      <c r="M295" t="s">
        <v>281</v>
      </c>
      <c r="R295" t="s">
        <v>193</v>
      </c>
      <c r="S295" t="s">
        <v>29</v>
      </c>
      <c r="T295" t="s">
        <v>70</v>
      </c>
      <c r="U295" t="s">
        <v>211</v>
      </c>
      <c r="W295" s="1">
        <f>[34]Frensch_etal_1996_Fig2a!B4</f>
        <v>2.6422989383883199E-7</v>
      </c>
      <c r="Z295"/>
      <c r="AA295" t="s">
        <v>21</v>
      </c>
      <c r="AB295" t="s">
        <v>285</v>
      </c>
    </row>
    <row r="296" spans="1:28" x14ac:dyDescent="0.35">
      <c r="A296" t="s">
        <v>140</v>
      </c>
      <c r="B296" t="s">
        <v>19</v>
      </c>
      <c r="C296" t="s">
        <v>20</v>
      </c>
      <c r="D296" t="s">
        <v>11</v>
      </c>
      <c r="E296" t="s">
        <v>14</v>
      </c>
      <c r="F296" t="s">
        <v>15</v>
      </c>
      <c r="G296" t="s">
        <v>15</v>
      </c>
      <c r="H296" t="s">
        <v>15</v>
      </c>
      <c r="I296" t="s">
        <v>242</v>
      </c>
      <c r="J296">
        <f>+AVERAGE(10,14)</f>
        <v>12</v>
      </c>
      <c r="K296" t="s">
        <v>281</v>
      </c>
      <c r="L296" t="s">
        <v>281</v>
      </c>
      <c r="M296" t="s">
        <v>281</v>
      </c>
      <c r="R296" t="s">
        <v>193</v>
      </c>
      <c r="S296" t="s">
        <v>29</v>
      </c>
      <c r="T296" t="s">
        <v>26</v>
      </c>
      <c r="U296" t="s">
        <v>212</v>
      </c>
      <c r="W296" s="1">
        <f>[34]Frensch_etal_1996_Fig2a!B5</f>
        <v>4.70557567466065E-8</v>
      </c>
      <c r="Z296"/>
      <c r="AA296" t="s">
        <v>21</v>
      </c>
      <c r="AB296" t="s">
        <v>285</v>
      </c>
    </row>
    <row r="297" spans="1:28" x14ac:dyDescent="0.35">
      <c r="A297" t="s">
        <v>140</v>
      </c>
      <c r="B297" t="s">
        <v>19</v>
      </c>
      <c r="C297" t="s">
        <v>20</v>
      </c>
      <c r="D297" t="s">
        <v>11</v>
      </c>
      <c r="E297" t="s">
        <v>14</v>
      </c>
      <c r="F297" t="s">
        <v>15</v>
      </c>
      <c r="G297" t="s">
        <v>15</v>
      </c>
      <c r="H297" t="s">
        <v>15</v>
      </c>
      <c r="I297" t="s">
        <v>242</v>
      </c>
      <c r="J297">
        <f t="shared" si="56"/>
        <v>12</v>
      </c>
      <c r="K297" t="s">
        <v>281</v>
      </c>
      <c r="L297" t="s">
        <v>281</v>
      </c>
      <c r="M297" t="s">
        <v>281</v>
      </c>
      <c r="R297" t="s">
        <v>193</v>
      </c>
      <c r="S297" t="s">
        <v>29</v>
      </c>
      <c r="T297" t="s">
        <v>110</v>
      </c>
      <c r="U297" t="s">
        <v>212</v>
      </c>
      <c r="W297" s="1">
        <f>[34]Frensch_etal_1996_Fig2a!B6</f>
        <v>2.1905478208773601E-8</v>
      </c>
      <c r="Z297"/>
      <c r="AA297" t="s">
        <v>21</v>
      </c>
      <c r="AB297" t="s">
        <v>285</v>
      </c>
    </row>
    <row r="298" spans="1:28" x14ac:dyDescent="0.35">
      <c r="A298" t="s">
        <v>140</v>
      </c>
      <c r="B298" t="s">
        <v>19</v>
      </c>
      <c r="C298" t="s">
        <v>20</v>
      </c>
      <c r="D298" t="s">
        <v>11</v>
      </c>
      <c r="E298" t="s">
        <v>14</v>
      </c>
      <c r="F298" t="s">
        <v>15</v>
      </c>
      <c r="G298" t="s">
        <v>15</v>
      </c>
      <c r="H298" t="s">
        <v>15</v>
      </c>
      <c r="I298" t="s">
        <v>242</v>
      </c>
      <c r="J298">
        <f t="shared" si="56"/>
        <v>12</v>
      </c>
      <c r="K298" t="s">
        <v>281</v>
      </c>
      <c r="L298" t="s">
        <v>281</v>
      </c>
      <c r="M298" t="s">
        <v>281</v>
      </c>
      <c r="R298" t="s">
        <v>193</v>
      </c>
      <c r="S298" t="s">
        <v>29</v>
      </c>
      <c r="T298" t="s">
        <v>70</v>
      </c>
      <c r="U298" t="s">
        <v>212</v>
      </c>
      <c r="W298" s="1">
        <f>[34]Frensch_etal_1996_Fig2a!B7</f>
        <v>1.08525448432496E-8</v>
      </c>
      <c r="Z298"/>
      <c r="AA298" t="s">
        <v>21</v>
      </c>
      <c r="AB298" t="s">
        <v>285</v>
      </c>
    </row>
    <row r="299" spans="1:28" x14ac:dyDescent="0.35">
      <c r="A299" t="s">
        <v>141</v>
      </c>
      <c r="B299" t="s">
        <v>19</v>
      </c>
      <c r="C299" t="s">
        <v>20</v>
      </c>
      <c r="D299" t="s">
        <v>11</v>
      </c>
      <c r="E299" t="s">
        <v>14</v>
      </c>
      <c r="F299" t="s">
        <v>15</v>
      </c>
      <c r="G299" t="s">
        <v>15</v>
      </c>
      <c r="H299" t="s">
        <v>15</v>
      </c>
      <c r="I299" t="s">
        <v>242</v>
      </c>
      <c r="J299">
        <f>+AVERAGE(7,14)</f>
        <v>10.5</v>
      </c>
      <c r="K299" t="s">
        <v>199</v>
      </c>
      <c r="L299" t="s">
        <v>16</v>
      </c>
      <c r="M299" t="str">
        <f t="shared" ref="M299:M312" si="57">+IF(L299="Control","Control","Stress")</f>
        <v>Control</v>
      </c>
      <c r="R299" t="s">
        <v>194</v>
      </c>
      <c r="S299" t="s">
        <v>29</v>
      </c>
      <c r="T299" t="s">
        <v>31</v>
      </c>
      <c r="U299" t="s">
        <v>211</v>
      </c>
      <c r="W299" s="1">
        <v>8.0000000000000002E-8</v>
      </c>
      <c r="X299" s="2"/>
      <c r="Y299">
        <f>+AVERAGE(8.9, 17.4)</f>
        <v>13.149999999999999</v>
      </c>
      <c r="Z299">
        <f>+AVERAGE(0.78,1.28)</f>
        <v>1.03</v>
      </c>
      <c r="AA299" t="s">
        <v>21</v>
      </c>
      <c r="AB299" t="s">
        <v>285</v>
      </c>
    </row>
    <row r="300" spans="1:28" x14ac:dyDescent="0.35">
      <c r="A300" t="s">
        <v>141</v>
      </c>
      <c r="B300" t="s">
        <v>19</v>
      </c>
      <c r="C300" t="s">
        <v>20</v>
      </c>
      <c r="D300" t="s">
        <v>11</v>
      </c>
      <c r="E300" t="s">
        <v>14</v>
      </c>
      <c r="F300" t="s">
        <v>15</v>
      </c>
      <c r="G300" t="s">
        <v>15</v>
      </c>
      <c r="H300" t="s">
        <v>15</v>
      </c>
      <c r="I300" t="s">
        <v>242</v>
      </c>
      <c r="J300">
        <f t="shared" ref="J300:J310" si="58">+AVERAGE(7,14)</f>
        <v>10.5</v>
      </c>
      <c r="K300" t="s">
        <v>199</v>
      </c>
      <c r="L300" t="s">
        <v>16</v>
      </c>
      <c r="M300" t="str">
        <f t="shared" si="57"/>
        <v>Control</v>
      </c>
      <c r="R300" t="s">
        <v>193</v>
      </c>
      <c r="S300" t="s">
        <v>29</v>
      </c>
      <c r="T300" t="s">
        <v>31</v>
      </c>
      <c r="U300" t="s">
        <v>211</v>
      </c>
      <c r="W300" s="1">
        <v>2.7000000000000001E-7</v>
      </c>
      <c r="X300" s="2"/>
      <c r="Y300">
        <f t="shared" ref="Y300:Y310" si="59">+AVERAGE(8.9, 17.4)</f>
        <v>13.149999999999999</v>
      </c>
      <c r="Z300">
        <f t="shared" ref="Z300:Z310" si="60">+AVERAGE(0.78,1.28)</f>
        <v>1.03</v>
      </c>
      <c r="AA300" t="s">
        <v>21</v>
      </c>
      <c r="AB300" t="s">
        <v>285</v>
      </c>
    </row>
    <row r="301" spans="1:28" x14ac:dyDescent="0.35">
      <c r="A301" t="s">
        <v>141</v>
      </c>
      <c r="B301" t="s">
        <v>19</v>
      </c>
      <c r="C301" t="s">
        <v>20</v>
      </c>
      <c r="D301" t="s">
        <v>11</v>
      </c>
      <c r="E301" t="s">
        <v>14</v>
      </c>
      <c r="F301" t="s">
        <v>15</v>
      </c>
      <c r="G301" t="s">
        <v>15</v>
      </c>
      <c r="H301" t="s">
        <v>15</v>
      </c>
      <c r="I301" t="s">
        <v>242</v>
      </c>
      <c r="J301">
        <f t="shared" si="58"/>
        <v>10.5</v>
      </c>
      <c r="K301" t="s">
        <v>199</v>
      </c>
      <c r="L301" t="s">
        <v>16</v>
      </c>
      <c r="M301" t="str">
        <f t="shared" si="57"/>
        <v>Control</v>
      </c>
      <c r="R301" t="s">
        <v>195</v>
      </c>
      <c r="S301" t="s">
        <v>29</v>
      </c>
      <c r="T301" t="s">
        <v>31</v>
      </c>
      <c r="U301" t="s">
        <v>211</v>
      </c>
      <c r="W301" s="1">
        <v>6.3E-7</v>
      </c>
      <c r="X301" s="2"/>
      <c r="Y301">
        <f t="shared" si="59"/>
        <v>13.149999999999999</v>
      </c>
      <c r="Z301">
        <f t="shared" si="60"/>
        <v>1.03</v>
      </c>
      <c r="AA301" t="s">
        <v>21</v>
      </c>
      <c r="AB301" t="s">
        <v>285</v>
      </c>
    </row>
    <row r="302" spans="1:28" x14ac:dyDescent="0.35">
      <c r="A302" t="s">
        <v>141</v>
      </c>
      <c r="B302" t="s">
        <v>19</v>
      </c>
      <c r="C302" t="s">
        <v>20</v>
      </c>
      <c r="D302" t="s">
        <v>11</v>
      </c>
      <c r="E302" t="s">
        <v>14</v>
      </c>
      <c r="F302" t="s">
        <v>15</v>
      </c>
      <c r="G302" t="s">
        <v>15</v>
      </c>
      <c r="H302" t="s">
        <v>15</v>
      </c>
      <c r="I302" t="s">
        <v>242</v>
      </c>
      <c r="J302">
        <f t="shared" si="58"/>
        <v>10.5</v>
      </c>
      <c r="K302" t="s">
        <v>199</v>
      </c>
      <c r="L302" t="s">
        <v>200</v>
      </c>
      <c r="M302" t="str">
        <f t="shared" si="57"/>
        <v>Stress</v>
      </c>
      <c r="R302" t="s">
        <v>194</v>
      </c>
      <c r="S302" t="s">
        <v>29</v>
      </c>
      <c r="T302" t="s">
        <v>31</v>
      </c>
      <c r="U302" t="s">
        <v>211</v>
      </c>
      <c r="W302" s="1">
        <v>6.9999999999999992E-8</v>
      </c>
      <c r="X302" s="2"/>
      <c r="Y302">
        <f t="shared" si="59"/>
        <v>13.149999999999999</v>
      </c>
      <c r="Z302">
        <f t="shared" si="60"/>
        <v>1.03</v>
      </c>
      <c r="AA302" t="s">
        <v>21</v>
      </c>
      <c r="AB302" t="s">
        <v>285</v>
      </c>
    </row>
    <row r="303" spans="1:28" x14ac:dyDescent="0.35">
      <c r="A303" t="s">
        <v>141</v>
      </c>
      <c r="B303" t="s">
        <v>19</v>
      </c>
      <c r="C303" t="s">
        <v>20</v>
      </c>
      <c r="D303" t="s">
        <v>11</v>
      </c>
      <c r="E303" t="s">
        <v>14</v>
      </c>
      <c r="F303" t="s">
        <v>15</v>
      </c>
      <c r="G303" t="s">
        <v>15</v>
      </c>
      <c r="H303" t="s">
        <v>15</v>
      </c>
      <c r="I303" t="s">
        <v>242</v>
      </c>
      <c r="J303">
        <f t="shared" si="58"/>
        <v>10.5</v>
      </c>
      <c r="K303" t="s">
        <v>199</v>
      </c>
      <c r="L303" t="s">
        <v>200</v>
      </c>
      <c r="M303" t="str">
        <f t="shared" si="57"/>
        <v>Stress</v>
      </c>
      <c r="R303" t="s">
        <v>193</v>
      </c>
      <c r="S303" t="s">
        <v>29</v>
      </c>
      <c r="T303" t="s">
        <v>31</v>
      </c>
      <c r="U303" t="s">
        <v>211</v>
      </c>
      <c r="W303" s="1">
        <v>2.7999999999999997E-7</v>
      </c>
      <c r="X303" s="2"/>
      <c r="Y303">
        <f t="shared" si="59"/>
        <v>13.149999999999999</v>
      </c>
      <c r="Z303">
        <f t="shared" si="60"/>
        <v>1.03</v>
      </c>
      <c r="AA303" t="s">
        <v>21</v>
      </c>
      <c r="AB303" t="s">
        <v>285</v>
      </c>
    </row>
    <row r="304" spans="1:28" x14ac:dyDescent="0.35">
      <c r="A304" t="s">
        <v>141</v>
      </c>
      <c r="B304" t="s">
        <v>19</v>
      </c>
      <c r="C304" t="s">
        <v>20</v>
      </c>
      <c r="D304" t="s">
        <v>11</v>
      </c>
      <c r="E304" t="s">
        <v>14</v>
      </c>
      <c r="F304" t="s">
        <v>15</v>
      </c>
      <c r="G304" t="s">
        <v>15</v>
      </c>
      <c r="H304" t="s">
        <v>15</v>
      </c>
      <c r="I304" t="s">
        <v>242</v>
      </c>
      <c r="J304">
        <f t="shared" si="58"/>
        <v>10.5</v>
      </c>
      <c r="K304" t="s">
        <v>199</v>
      </c>
      <c r="L304" t="s">
        <v>200</v>
      </c>
      <c r="M304" t="str">
        <f t="shared" si="57"/>
        <v>Stress</v>
      </c>
      <c r="R304" t="s">
        <v>195</v>
      </c>
      <c r="S304" t="s">
        <v>29</v>
      </c>
      <c r="T304" t="s">
        <v>31</v>
      </c>
      <c r="U304" t="s">
        <v>211</v>
      </c>
      <c r="W304" s="1">
        <v>6.6999999999999994E-7</v>
      </c>
      <c r="X304" s="2"/>
      <c r="Y304">
        <f t="shared" si="59"/>
        <v>13.149999999999999</v>
      </c>
      <c r="Z304">
        <f t="shared" si="60"/>
        <v>1.03</v>
      </c>
      <c r="AA304" t="s">
        <v>21</v>
      </c>
      <c r="AB304" t="s">
        <v>285</v>
      </c>
    </row>
    <row r="305" spans="1:28" x14ac:dyDescent="0.35">
      <c r="A305" t="s">
        <v>141</v>
      </c>
      <c r="B305" t="s">
        <v>19</v>
      </c>
      <c r="C305" t="s">
        <v>20</v>
      </c>
      <c r="D305" t="s">
        <v>11</v>
      </c>
      <c r="E305" t="s">
        <v>14</v>
      </c>
      <c r="F305" t="s">
        <v>15</v>
      </c>
      <c r="G305" t="s">
        <v>15</v>
      </c>
      <c r="H305" t="s">
        <v>15</v>
      </c>
      <c r="I305" t="s">
        <v>242</v>
      </c>
      <c r="J305">
        <f t="shared" si="58"/>
        <v>10.5</v>
      </c>
      <c r="K305" t="s">
        <v>199</v>
      </c>
      <c r="L305" t="s">
        <v>16</v>
      </c>
      <c r="M305" t="str">
        <f t="shared" si="57"/>
        <v>Control</v>
      </c>
      <c r="R305" t="s">
        <v>194</v>
      </c>
      <c r="S305" t="s">
        <v>29</v>
      </c>
      <c r="T305" t="s">
        <v>31</v>
      </c>
      <c r="U305" t="s">
        <v>212</v>
      </c>
      <c r="W305" s="1">
        <v>3E-9</v>
      </c>
      <c r="X305" s="2"/>
      <c r="Y305">
        <f t="shared" si="59"/>
        <v>13.149999999999999</v>
      </c>
      <c r="Z305">
        <f t="shared" si="60"/>
        <v>1.03</v>
      </c>
      <c r="AA305" t="s">
        <v>21</v>
      </c>
      <c r="AB305" t="s">
        <v>285</v>
      </c>
    </row>
    <row r="306" spans="1:28" x14ac:dyDescent="0.35">
      <c r="A306" t="s">
        <v>141</v>
      </c>
      <c r="B306" t="s">
        <v>19</v>
      </c>
      <c r="C306" t="s">
        <v>20</v>
      </c>
      <c r="D306" t="s">
        <v>11</v>
      </c>
      <c r="E306" t="s">
        <v>14</v>
      </c>
      <c r="F306" t="s">
        <v>15</v>
      </c>
      <c r="G306" t="s">
        <v>15</v>
      </c>
      <c r="H306" t="s">
        <v>15</v>
      </c>
      <c r="I306" t="s">
        <v>242</v>
      </c>
      <c r="J306">
        <f t="shared" si="58"/>
        <v>10.5</v>
      </c>
      <c r="K306" t="s">
        <v>199</v>
      </c>
      <c r="L306" t="s">
        <v>16</v>
      </c>
      <c r="M306" t="str">
        <f t="shared" si="57"/>
        <v>Control</v>
      </c>
      <c r="R306" t="s">
        <v>193</v>
      </c>
      <c r="S306" t="s">
        <v>29</v>
      </c>
      <c r="T306" t="s">
        <v>31</v>
      </c>
      <c r="U306" t="s">
        <v>212</v>
      </c>
      <c r="W306" s="1">
        <v>2.2000000000000002E-8</v>
      </c>
      <c r="X306" s="2"/>
      <c r="Y306">
        <f t="shared" si="59"/>
        <v>13.149999999999999</v>
      </c>
      <c r="Z306">
        <f t="shared" si="60"/>
        <v>1.03</v>
      </c>
      <c r="AA306" t="s">
        <v>21</v>
      </c>
      <c r="AB306" t="s">
        <v>285</v>
      </c>
    </row>
    <row r="307" spans="1:28" x14ac:dyDescent="0.35">
      <c r="A307" t="s">
        <v>141</v>
      </c>
      <c r="B307" t="s">
        <v>19</v>
      </c>
      <c r="C307" t="s">
        <v>20</v>
      </c>
      <c r="D307" t="s">
        <v>11</v>
      </c>
      <c r="E307" t="s">
        <v>14</v>
      </c>
      <c r="F307" t="s">
        <v>15</v>
      </c>
      <c r="G307" t="s">
        <v>15</v>
      </c>
      <c r="H307" t="s">
        <v>15</v>
      </c>
      <c r="I307" t="s">
        <v>242</v>
      </c>
      <c r="J307">
        <f t="shared" si="58"/>
        <v>10.5</v>
      </c>
      <c r="K307" t="s">
        <v>199</v>
      </c>
      <c r="L307" t="s">
        <v>16</v>
      </c>
      <c r="M307" t="str">
        <f t="shared" si="57"/>
        <v>Control</v>
      </c>
      <c r="R307" t="s">
        <v>195</v>
      </c>
      <c r="S307" t="s">
        <v>29</v>
      </c>
      <c r="T307" t="s">
        <v>31</v>
      </c>
      <c r="U307" t="s">
        <v>212</v>
      </c>
      <c r="W307" s="1">
        <v>6.4000000000000004E-8</v>
      </c>
      <c r="X307" s="2"/>
      <c r="Y307">
        <f t="shared" si="59"/>
        <v>13.149999999999999</v>
      </c>
      <c r="Z307">
        <f t="shared" si="60"/>
        <v>1.03</v>
      </c>
      <c r="AA307" t="s">
        <v>21</v>
      </c>
      <c r="AB307" t="s">
        <v>285</v>
      </c>
    </row>
    <row r="308" spans="1:28" x14ac:dyDescent="0.35">
      <c r="A308" t="s">
        <v>141</v>
      </c>
      <c r="B308" t="s">
        <v>19</v>
      </c>
      <c r="C308" t="s">
        <v>20</v>
      </c>
      <c r="D308" t="s">
        <v>11</v>
      </c>
      <c r="E308" t="s">
        <v>14</v>
      </c>
      <c r="F308" t="s">
        <v>15</v>
      </c>
      <c r="G308" t="s">
        <v>15</v>
      </c>
      <c r="H308" t="s">
        <v>15</v>
      </c>
      <c r="I308" t="s">
        <v>242</v>
      </c>
      <c r="J308">
        <f t="shared" si="58"/>
        <v>10.5</v>
      </c>
      <c r="K308" t="s">
        <v>199</v>
      </c>
      <c r="L308" t="s">
        <v>200</v>
      </c>
      <c r="M308" t="str">
        <f t="shared" si="57"/>
        <v>Stress</v>
      </c>
      <c r="R308" t="s">
        <v>194</v>
      </c>
      <c r="S308" t="s">
        <v>29</v>
      </c>
      <c r="T308" t="s">
        <v>31</v>
      </c>
      <c r="U308" t="s">
        <v>212</v>
      </c>
      <c r="W308" s="1">
        <v>6.9999999999999998E-9</v>
      </c>
      <c r="X308" s="2"/>
      <c r="Y308">
        <f t="shared" si="59"/>
        <v>13.149999999999999</v>
      </c>
      <c r="Z308">
        <f t="shared" si="60"/>
        <v>1.03</v>
      </c>
      <c r="AA308" t="s">
        <v>21</v>
      </c>
      <c r="AB308" t="s">
        <v>285</v>
      </c>
    </row>
    <row r="309" spans="1:28" x14ac:dyDescent="0.35">
      <c r="A309" t="s">
        <v>141</v>
      </c>
      <c r="B309" t="s">
        <v>19</v>
      </c>
      <c r="C309" t="s">
        <v>20</v>
      </c>
      <c r="D309" t="s">
        <v>11</v>
      </c>
      <c r="E309" t="s">
        <v>14</v>
      </c>
      <c r="F309" t="s">
        <v>15</v>
      </c>
      <c r="G309" t="s">
        <v>15</v>
      </c>
      <c r="H309" t="s">
        <v>15</v>
      </c>
      <c r="I309" t="s">
        <v>242</v>
      </c>
      <c r="J309">
        <f t="shared" si="58"/>
        <v>10.5</v>
      </c>
      <c r="K309" t="s">
        <v>199</v>
      </c>
      <c r="L309" t="s">
        <v>200</v>
      </c>
      <c r="M309" t="str">
        <f t="shared" si="57"/>
        <v>Stress</v>
      </c>
      <c r="R309" t="s">
        <v>193</v>
      </c>
      <c r="S309" t="s">
        <v>29</v>
      </c>
      <c r="T309" t="s">
        <v>31</v>
      </c>
      <c r="U309" t="s">
        <v>212</v>
      </c>
      <c r="W309" s="1">
        <v>2.4999999999999999E-8</v>
      </c>
      <c r="X309" s="2"/>
      <c r="Y309">
        <f t="shared" si="59"/>
        <v>13.149999999999999</v>
      </c>
      <c r="Z309">
        <f t="shared" si="60"/>
        <v>1.03</v>
      </c>
      <c r="AA309" t="s">
        <v>21</v>
      </c>
      <c r="AB309" t="s">
        <v>285</v>
      </c>
    </row>
    <row r="310" spans="1:28" x14ac:dyDescent="0.35">
      <c r="A310" t="s">
        <v>141</v>
      </c>
      <c r="B310" t="s">
        <v>19</v>
      </c>
      <c r="C310" t="s">
        <v>20</v>
      </c>
      <c r="D310" t="s">
        <v>11</v>
      </c>
      <c r="E310" t="s">
        <v>14</v>
      </c>
      <c r="F310" t="s">
        <v>15</v>
      </c>
      <c r="G310" t="s">
        <v>15</v>
      </c>
      <c r="H310" t="s">
        <v>15</v>
      </c>
      <c r="I310" t="s">
        <v>242</v>
      </c>
      <c r="J310">
        <f t="shared" si="58"/>
        <v>10.5</v>
      </c>
      <c r="K310" t="s">
        <v>199</v>
      </c>
      <c r="L310" t="s">
        <v>200</v>
      </c>
      <c r="M310" t="str">
        <f t="shared" si="57"/>
        <v>Stress</v>
      </c>
      <c r="R310" t="s">
        <v>195</v>
      </c>
      <c r="S310" t="s">
        <v>29</v>
      </c>
      <c r="T310" t="s">
        <v>31</v>
      </c>
      <c r="U310" t="s">
        <v>212</v>
      </c>
      <c r="W310" s="1">
        <v>7.4999999999999997E-8</v>
      </c>
      <c r="X310" s="2"/>
      <c r="Y310">
        <f t="shared" si="59"/>
        <v>13.149999999999999</v>
      </c>
      <c r="Z310">
        <f t="shared" si="60"/>
        <v>1.03</v>
      </c>
      <c r="AA310" t="s">
        <v>21</v>
      </c>
      <c r="AB310" t="s">
        <v>285</v>
      </c>
    </row>
    <row r="311" spans="1:28" x14ac:dyDescent="0.35">
      <c r="A311" t="s">
        <v>144</v>
      </c>
      <c r="B311" t="s">
        <v>19</v>
      </c>
      <c r="C311" t="s">
        <v>20</v>
      </c>
      <c r="D311" t="s">
        <v>11</v>
      </c>
      <c r="E311" t="s">
        <v>14</v>
      </c>
      <c r="F311" t="s">
        <v>15</v>
      </c>
      <c r="G311" t="s">
        <v>15</v>
      </c>
      <c r="H311" t="s">
        <v>15</v>
      </c>
      <c r="I311" t="s">
        <v>242</v>
      </c>
      <c r="J311">
        <f>+AVERAGE(7,14)</f>
        <v>10.5</v>
      </c>
      <c r="K311" t="s">
        <v>142</v>
      </c>
      <c r="L311" t="s">
        <v>16</v>
      </c>
      <c r="M311" t="str">
        <f t="shared" si="57"/>
        <v>Control</v>
      </c>
      <c r="R311" t="s">
        <v>193</v>
      </c>
      <c r="S311" t="s">
        <v>29</v>
      </c>
      <c r="T311" t="s">
        <v>31</v>
      </c>
      <c r="U311" t="s">
        <v>211</v>
      </c>
      <c r="W311" s="1">
        <v>2.2000000000000001E-7</v>
      </c>
      <c r="X311" s="2"/>
      <c r="Y311">
        <f>+AVERAGE(7.8,13.1)</f>
        <v>10.45</v>
      </c>
      <c r="Z311">
        <f>+AVERAGE(0.86,1.1)</f>
        <v>0.98</v>
      </c>
      <c r="AA311" t="s">
        <v>21</v>
      </c>
      <c r="AB311" t="s">
        <v>285</v>
      </c>
    </row>
    <row r="312" spans="1:28" x14ac:dyDescent="0.35">
      <c r="A312" t="s">
        <v>144</v>
      </c>
      <c r="B312" t="s">
        <v>19</v>
      </c>
      <c r="C312" t="s">
        <v>20</v>
      </c>
      <c r="D312" t="s">
        <v>11</v>
      </c>
      <c r="E312" t="s">
        <v>14</v>
      </c>
      <c r="F312" t="s">
        <v>15</v>
      </c>
      <c r="G312" t="s">
        <v>15</v>
      </c>
      <c r="H312" t="s">
        <v>15</v>
      </c>
      <c r="I312" t="s">
        <v>242</v>
      </c>
      <c r="J312">
        <f>+AVERAGE(7,14)</f>
        <v>10.5</v>
      </c>
      <c r="K312" t="s">
        <v>142</v>
      </c>
      <c r="L312" t="s">
        <v>143</v>
      </c>
      <c r="M312" t="str">
        <f t="shared" si="57"/>
        <v>Stress</v>
      </c>
      <c r="R312" t="s">
        <v>193</v>
      </c>
      <c r="S312" t="s">
        <v>29</v>
      </c>
      <c r="T312" t="s">
        <v>31</v>
      </c>
      <c r="U312" t="s">
        <v>211</v>
      </c>
      <c r="W312" s="1">
        <v>2.2000000000000001E-7</v>
      </c>
      <c r="X312" s="2"/>
      <c r="Y312">
        <f t="shared" ref="Y312" si="61">+AVERAGE(7.8,13.1)</f>
        <v>10.45</v>
      </c>
      <c r="Z312">
        <f t="shared" ref="Z312" si="62">+AVERAGE(0.86,1.1)</f>
        <v>0.98</v>
      </c>
      <c r="AA312" t="s">
        <v>21</v>
      </c>
      <c r="AB312" t="s">
        <v>285</v>
      </c>
    </row>
    <row r="313" spans="1:28" x14ac:dyDescent="0.35">
      <c r="A313" t="s">
        <v>166</v>
      </c>
      <c r="B313" t="s">
        <v>167</v>
      </c>
      <c r="C313" t="s">
        <v>106</v>
      </c>
      <c r="D313" t="s">
        <v>107</v>
      </c>
      <c r="E313" t="s">
        <v>108</v>
      </c>
      <c r="F313" t="s">
        <v>109</v>
      </c>
      <c r="G313" t="s">
        <v>109</v>
      </c>
      <c r="H313" t="s">
        <v>109</v>
      </c>
      <c r="I313" t="s">
        <v>109</v>
      </c>
      <c r="J313">
        <f>2*7</f>
        <v>14</v>
      </c>
      <c r="K313" t="s">
        <v>281</v>
      </c>
      <c r="L313" t="s">
        <v>281</v>
      </c>
      <c r="M313" t="s">
        <v>281</v>
      </c>
      <c r="R313" t="s">
        <v>193</v>
      </c>
      <c r="S313" t="s">
        <v>148</v>
      </c>
      <c r="T313" t="s">
        <v>26</v>
      </c>
      <c r="U313" t="s">
        <v>211</v>
      </c>
      <c r="W313" s="1">
        <v>3.4299999999999999E-7</v>
      </c>
      <c r="X313" s="2"/>
      <c r="Z313">
        <v>0.81</v>
      </c>
      <c r="AA313" t="s">
        <v>51</v>
      </c>
      <c r="AB313" t="s">
        <v>285</v>
      </c>
    </row>
    <row r="314" spans="1:28" x14ac:dyDescent="0.35">
      <c r="A314" t="s">
        <v>166</v>
      </c>
      <c r="B314" t="s">
        <v>167</v>
      </c>
      <c r="C314" t="s">
        <v>106</v>
      </c>
      <c r="D314" t="s">
        <v>107</v>
      </c>
      <c r="E314" t="s">
        <v>108</v>
      </c>
      <c r="F314" t="s">
        <v>109</v>
      </c>
      <c r="G314" t="s">
        <v>109</v>
      </c>
      <c r="H314" t="s">
        <v>109</v>
      </c>
      <c r="I314" t="s">
        <v>109</v>
      </c>
      <c r="J314">
        <f>6*7</f>
        <v>42</v>
      </c>
      <c r="K314" t="s">
        <v>281</v>
      </c>
      <c r="L314" t="s">
        <v>281</v>
      </c>
      <c r="M314" t="s">
        <v>281</v>
      </c>
      <c r="R314" t="s">
        <v>193</v>
      </c>
      <c r="S314" t="s">
        <v>148</v>
      </c>
      <c r="T314" t="s">
        <v>70</v>
      </c>
      <c r="U314" t="s">
        <v>211</v>
      </c>
      <c r="W314" s="1">
        <v>1.1799999999999998E-7</v>
      </c>
      <c r="X314" s="2"/>
      <c r="Z314">
        <v>0.81</v>
      </c>
      <c r="AA314" t="s">
        <v>51</v>
      </c>
      <c r="AB314" t="s">
        <v>285</v>
      </c>
    </row>
    <row r="315" spans="1:28" x14ac:dyDescent="0.35">
      <c r="A315" t="s">
        <v>166</v>
      </c>
      <c r="B315" t="s">
        <v>168</v>
      </c>
      <c r="C315" t="s">
        <v>106</v>
      </c>
      <c r="D315" t="s">
        <v>107</v>
      </c>
      <c r="E315" t="s">
        <v>108</v>
      </c>
      <c r="F315" t="s">
        <v>109</v>
      </c>
      <c r="G315" t="s">
        <v>109</v>
      </c>
      <c r="H315" t="s">
        <v>109</v>
      </c>
      <c r="I315" t="s">
        <v>109</v>
      </c>
      <c r="J315">
        <f>2*7</f>
        <v>14</v>
      </c>
      <c r="K315" t="s">
        <v>281</v>
      </c>
      <c r="L315" t="s">
        <v>281</v>
      </c>
      <c r="M315" t="s">
        <v>281</v>
      </c>
      <c r="R315" t="s">
        <v>193</v>
      </c>
      <c r="S315" t="s">
        <v>148</v>
      </c>
      <c r="T315" t="s">
        <v>26</v>
      </c>
      <c r="U315" t="s">
        <v>211</v>
      </c>
      <c r="W315" s="1">
        <v>2.4399999999999996E-7</v>
      </c>
      <c r="X315" s="2"/>
      <c r="Z315">
        <v>0.82</v>
      </c>
      <c r="AA315" t="s">
        <v>51</v>
      </c>
      <c r="AB315" t="s">
        <v>285</v>
      </c>
    </row>
    <row r="316" spans="1:28" x14ac:dyDescent="0.35">
      <c r="A316" t="s">
        <v>166</v>
      </c>
      <c r="B316" t="s">
        <v>168</v>
      </c>
      <c r="C316" t="s">
        <v>106</v>
      </c>
      <c r="D316" t="s">
        <v>107</v>
      </c>
      <c r="E316" t="s">
        <v>108</v>
      </c>
      <c r="F316" t="s">
        <v>109</v>
      </c>
      <c r="G316" t="s">
        <v>109</v>
      </c>
      <c r="H316" t="s">
        <v>109</v>
      </c>
      <c r="I316" t="s">
        <v>109</v>
      </c>
      <c r="J316">
        <f>6*7</f>
        <v>42</v>
      </c>
      <c r="K316" t="s">
        <v>281</v>
      </c>
      <c r="L316" t="s">
        <v>281</v>
      </c>
      <c r="M316" t="s">
        <v>281</v>
      </c>
      <c r="R316" t="s">
        <v>193</v>
      </c>
      <c r="S316" t="s">
        <v>148</v>
      </c>
      <c r="T316" t="s">
        <v>70</v>
      </c>
      <c r="U316" t="s">
        <v>211</v>
      </c>
      <c r="W316" s="1">
        <v>1.5199999999999998E-7</v>
      </c>
      <c r="X316" s="2"/>
      <c r="Z316">
        <v>0.82</v>
      </c>
      <c r="AA316" t="s">
        <v>51</v>
      </c>
      <c r="AB316" t="s">
        <v>285</v>
      </c>
    </row>
    <row r="317" spans="1:28" x14ac:dyDescent="0.35">
      <c r="A317" t="s">
        <v>166</v>
      </c>
      <c r="B317" t="s">
        <v>167</v>
      </c>
      <c r="C317" t="s">
        <v>106</v>
      </c>
      <c r="D317" t="s">
        <v>107</v>
      </c>
      <c r="E317" t="s">
        <v>108</v>
      </c>
      <c r="F317" t="s">
        <v>109</v>
      </c>
      <c r="G317" t="s">
        <v>109</v>
      </c>
      <c r="H317" t="s">
        <v>109</v>
      </c>
      <c r="I317" t="s">
        <v>109</v>
      </c>
      <c r="J317" s="5">
        <f>7*[35]Nobel_etal_1993_Fig4a!$B2</f>
        <v>7</v>
      </c>
      <c r="K317" t="s">
        <v>281</v>
      </c>
      <c r="L317" t="s">
        <v>281</v>
      </c>
      <c r="M317" t="s">
        <v>281</v>
      </c>
      <c r="R317" t="s">
        <v>193</v>
      </c>
      <c r="S317" t="s">
        <v>112</v>
      </c>
      <c r="T317" t="s">
        <v>26</v>
      </c>
      <c r="U317" t="s">
        <v>211</v>
      </c>
      <c r="W317" s="1">
        <f>[35]Nobel_etal_1993_Fig4a!C2</f>
        <v>6.73684210526316E-8</v>
      </c>
      <c r="X317" s="2"/>
      <c r="Z317">
        <v>3.43</v>
      </c>
      <c r="AA317" t="s">
        <v>51</v>
      </c>
      <c r="AB317" t="s">
        <v>285</v>
      </c>
    </row>
    <row r="318" spans="1:28" x14ac:dyDescent="0.35">
      <c r="A318" t="s">
        <v>166</v>
      </c>
      <c r="B318" t="s">
        <v>167</v>
      </c>
      <c r="C318" t="s">
        <v>106</v>
      </c>
      <c r="D318" t="s">
        <v>107</v>
      </c>
      <c r="E318" t="s">
        <v>108</v>
      </c>
      <c r="F318" t="s">
        <v>109</v>
      </c>
      <c r="G318" t="s">
        <v>109</v>
      </c>
      <c r="H318" t="s">
        <v>109</v>
      </c>
      <c r="I318" t="s">
        <v>109</v>
      </c>
      <c r="J318" s="5">
        <f>7*[35]Nobel_etal_1993_Fig4a!$B3</f>
        <v>14</v>
      </c>
      <c r="K318" t="s">
        <v>281</v>
      </c>
      <c r="L318" t="s">
        <v>281</v>
      </c>
      <c r="M318" t="s">
        <v>281</v>
      </c>
      <c r="R318" t="s">
        <v>193</v>
      </c>
      <c r="S318" t="s">
        <v>112</v>
      </c>
      <c r="T318" t="s">
        <v>26</v>
      </c>
      <c r="U318" t="s">
        <v>211</v>
      </c>
      <c r="W318" s="1">
        <f>[35]Nobel_etal_1993_Fig4a!C3</f>
        <v>2.1333333333333299E-7</v>
      </c>
      <c r="X318" s="2"/>
      <c r="Z318">
        <v>3.43</v>
      </c>
      <c r="AA318" t="s">
        <v>51</v>
      </c>
      <c r="AB318" t="s">
        <v>285</v>
      </c>
    </row>
    <row r="319" spans="1:28" x14ac:dyDescent="0.35">
      <c r="A319" t="s">
        <v>166</v>
      </c>
      <c r="B319" t="s">
        <v>167</v>
      </c>
      <c r="C319" t="s">
        <v>106</v>
      </c>
      <c r="D319" t="s">
        <v>107</v>
      </c>
      <c r="E319" t="s">
        <v>108</v>
      </c>
      <c r="F319" t="s">
        <v>109</v>
      </c>
      <c r="G319" t="s">
        <v>109</v>
      </c>
      <c r="H319" t="s">
        <v>109</v>
      </c>
      <c r="I319" t="s">
        <v>109</v>
      </c>
      <c r="J319" s="5">
        <f>7*[35]Nobel_etal_1993_Fig4a!$B4</f>
        <v>28</v>
      </c>
      <c r="K319" t="s">
        <v>281</v>
      </c>
      <c r="L319" t="s">
        <v>281</v>
      </c>
      <c r="M319" t="s">
        <v>281</v>
      </c>
      <c r="R319" t="s">
        <v>193</v>
      </c>
      <c r="S319" t="s">
        <v>112</v>
      </c>
      <c r="T319" t="s">
        <v>110</v>
      </c>
      <c r="U319" t="s">
        <v>211</v>
      </c>
      <c r="W319" s="1">
        <f>[35]Nobel_etal_1993_Fig4a!C4</f>
        <v>2.5543859649122798E-7</v>
      </c>
      <c r="X319" s="2"/>
      <c r="Z319">
        <v>3.43</v>
      </c>
      <c r="AA319" t="s">
        <v>51</v>
      </c>
      <c r="AB319" t="s">
        <v>285</v>
      </c>
    </row>
    <row r="320" spans="1:28" x14ac:dyDescent="0.35">
      <c r="A320" t="s">
        <v>166</v>
      </c>
      <c r="B320" t="s">
        <v>167</v>
      </c>
      <c r="C320" t="s">
        <v>106</v>
      </c>
      <c r="D320" t="s">
        <v>107</v>
      </c>
      <c r="E320" t="s">
        <v>108</v>
      </c>
      <c r="F320" t="s">
        <v>109</v>
      </c>
      <c r="G320" t="s">
        <v>109</v>
      </c>
      <c r="H320" t="s">
        <v>109</v>
      </c>
      <c r="I320" t="s">
        <v>109</v>
      </c>
      <c r="J320" s="5">
        <f>7*[35]Nobel_etal_1993_Fig4a!$B5</f>
        <v>42</v>
      </c>
      <c r="K320" t="s">
        <v>281</v>
      </c>
      <c r="L320" t="s">
        <v>281</v>
      </c>
      <c r="M320" t="s">
        <v>281</v>
      </c>
      <c r="R320" t="s">
        <v>193</v>
      </c>
      <c r="S320" t="s">
        <v>112</v>
      </c>
      <c r="T320" t="s">
        <v>110</v>
      </c>
      <c r="U320" t="s">
        <v>211</v>
      </c>
      <c r="W320" s="1">
        <f>[35]Nobel_etal_1993_Fig4a!C5</f>
        <v>1.9368421052631501E-7</v>
      </c>
      <c r="X320" s="2"/>
      <c r="Z320">
        <v>3.43</v>
      </c>
      <c r="AA320" t="s">
        <v>51</v>
      </c>
      <c r="AB320" t="s">
        <v>285</v>
      </c>
    </row>
    <row r="321" spans="1:28" x14ac:dyDescent="0.35">
      <c r="A321" t="s">
        <v>166</v>
      </c>
      <c r="B321" t="s">
        <v>167</v>
      </c>
      <c r="C321" t="s">
        <v>106</v>
      </c>
      <c r="D321" t="s">
        <v>107</v>
      </c>
      <c r="E321" t="s">
        <v>108</v>
      </c>
      <c r="F321" t="s">
        <v>109</v>
      </c>
      <c r="G321" t="s">
        <v>109</v>
      </c>
      <c r="H321" t="s">
        <v>109</v>
      </c>
      <c r="I321" t="s">
        <v>109</v>
      </c>
      <c r="J321" s="5">
        <f>7*[35]Nobel_etal_1993_Fig4a!$B6</f>
        <v>56</v>
      </c>
      <c r="K321" t="s">
        <v>281</v>
      </c>
      <c r="L321" t="s">
        <v>281</v>
      </c>
      <c r="M321" t="s">
        <v>281</v>
      </c>
      <c r="R321" t="s">
        <v>193</v>
      </c>
      <c r="S321" t="s">
        <v>112</v>
      </c>
      <c r="T321" t="s">
        <v>110</v>
      </c>
      <c r="U321" t="s">
        <v>211</v>
      </c>
      <c r="W321" s="1">
        <f>[35]Nobel_etal_1993_Fig4a!C6</f>
        <v>1.09473684210526E-7</v>
      </c>
      <c r="X321" s="2"/>
      <c r="Z321">
        <v>3.43</v>
      </c>
      <c r="AA321" t="s">
        <v>51</v>
      </c>
      <c r="AB321" t="s">
        <v>285</v>
      </c>
    </row>
    <row r="322" spans="1:28" x14ac:dyDescent="0.35">
      <c r="A322" t="s">
        <v>166</v>
      </c>
      <c r="B322" t="s">
        <v>167</v>
      </c>
      <c r="C322" t="s">
        <v>106</v>
      </c>
      <c r="D322" t="s">
        <v>107</v>
      </c>
      <c r="E322" t="s">
        <v>108</v>
      </c>
      <c r="F322" t="s">
        <v>109</v>
      </c>
      <c r="G322" t="s">
        <v>109</v>
      </c>
      <c r="H322" t="s">
        <v>109</v>
      </c>
      <c r="I322" t="s">
        <v>109</v>
      </c>
      <c r="J322" s="5">
        <f>7*[35]Nobel_etal_1993_Fig4a!$B7</f>
        <v>84</v>
      </c>
      <c r="K322" t="s">
        <v>281</v>
      </c>
      <c r="L322" t="s">
        <v>281</v>
      </c>
      <c r="M322" t="s">
        <v>281</v>
      </c>
      <c r="R322" t="s">
        <v>193</v>
      </c>
      <c r="S322" t="s">
        <v>112</v>
      </c>
      <c r="T322" t="s">
        <v>70</v>
      </c>
      <c r="U322" t="s">
        <v>211</v>
      </c>
      <c r="W322" s="1">
        <f>[35]Nobel_etal_1993_Fig4a!C7</f>
        <v>8.42105263157895E-8</v>
      </c>
      <c r="X322" s="2"/>
      <c r="Z322">
        <v>3.43</v>
      </c>
      <c r="AA322" t="s">
        <v>51</v>
      </c>
      <c r="AB322" t="s">
        <v>285</v>
      </c>
    </row>
    <row r="323" spans="1:28" x14ac:dyDescent="0.35">
      <c r="A323" t="s">
        <v>166</v>
      </c>
      <c r="B323" t="s">
        <v>167</v>
      </c>
      <c r="C323" t="s">
        <v>106</v>
      </c>
      <c r="D323" t="s">
        <v>107</v>
      </c>
      <c r="E323" t="s">
        <v>108</v>
      </c>
      <c r="F323" t="s">
        <v>109</v>
      </c>
      <c r="G323" t="s">
        <v>109</v>
      </c>
      <c r="H323" t="s">
        <v>109</v>
      </c>
      <c r="I323" t="s">
        <v>109</v>
      </c>
      <c r="J323" s="5">
        <f>7*[35]Nobel_etal_1993_Fig4a!$B8</f>
        <v>112</v>
      </c>
      <c r="K323" t="s">
        <v>281</v>
      </c>
      <c r="L323" t="s">
        <v>281</v>
      </c>
      <c r="M323" t="s">
        <v>281</v>
      </c>
      <c r="R323" t="s">
        <v>193</v>
      </c>
      <c r="S323" t="s">
        <v>112</v>
      </c>
      <c r="T323" t="s">
        <v>70</v>
      </c>
      <c r="U323" t="s">
        <v>211</v>
      </c>
      <c r="W323" s="1">
        <f>[35]Nobel_etal_1993_Fig4a!C8</f>
        <v>2.66666666666667E-8</v>
      </c>
      <c r="X323" s="2"/>
      <c r="Z323">
        <v>3.43</v>
      </c>
      <c r="AA323" t="s">
        <v>51</v>
      </c>
      <c r="AB323" t="s">
        <v>285</v>
      </c>
    </row>
    <row r="324" spans="1:28" x14ac:dyDescent="0.35">
      <c r="A324" t="s">
        <v>166</v>
      </c>
      <c r="B324" t="s">
        <v>168</v>
      </c>
      <c r="C324" t="s">
        <v>106</v>
      </c>
      <c r="D324" t="s">
        <v>107</v>
      </c>
      <c r="E324" t="s">
        <v>108</v>
      </c>
      <c r="F324" t="s">
        <v>109</v>
      </c>
      <c r="G324" t="s">
        <v>109</v>
      </c>
      <c r="H324" t="s">
        <v>109</v>
      </c>
      <c r="I324" t="s">
        <v>109</v>
      </c>
      <c r="J324" s="5">
        <f>7*[35]Nobel_etal_1993_Fig4a!$B9</f>
        <v>7</v>
      </c>
      <c r="K324" t="s">
        <v>281</v>
      </c>
      <c r="L324" t="s">
        <v>281</v>
      </c>
      <c r="M324" t="s">
        <v>281</v>
      </c>
      <c r="R324" t="s">
        <v>193</v>
      </c>
      <c r="S324" t="s">
        <v>112</v>
      </c>
      <c r="T324" t="s">
        <v>26</v>
      </c>
      <c r="U324" t="s">
        <v>211</v>
      </c>
      <c r="W324" s="1">
        <f>[35]Nobel_etal_1993_Fig4a!C9</f>
        <v>7.8596491228070297E-8</v>
      </c>
      <c r="X324" s="2"/>
      <c r="Z324">
        <v>3.66</v>
      </c>
      <c r="AA324" t="s">
        <v>51</v>
      </c>
      <c r="AB324" t="s">
        <v>285</v>
      </c>
    </row>
    <row r="325" spans="1:28" x14ac:dyDescent="0.35">
      <c r="A325" t="s">
        <v>166</v>
      </c>
      <c r="B325" t="s">
        <v>168</v>
      </c>
      <c r="C325" t="s">
        <v>106</v>
      </c>
      <c r="D325" t="s">
        <v>107</v>
      </c>
      <c r="E325" t="s">
        <v>108</v>
      </c>
      <c r="F325" t="s">
        <v>109</v>
      </c>
      <c r="G325" t="s">
        <v>109</v>
      </c>
      <c r="H325" t="s">
        <v>109</v>
      </c>
      <c r="I325" t="s">
        <v>109</v>
      </c>
      <c r="J325" s="5">
        <f>7*[35]Nobel_etal_1993_Fig4a!$B10</f>
        <v>14</v>
      </c>
      <c r="K325" t="s">
        <v>281</v>
      </c>
      <c r="L325" t="s">
        <v>281</v>
      </c>
      <c r="M325" t="s">
        <v>281</v>
      </c>
      <c r="R325" t="s">
        <v>193</v>
      </c>
      <c r="S325" t="s">
        <v>112</v>
      </c>
      <c r="T325" t="s">
        <v>26</v>
      </c>
      <c r="U325" t="s">
        <v>211</v>
      </c>
      <c r="W325" s="1">
        <f>[35]Nobel_etal_1993_Fig4a!C10</f>
        <v>2.25964912280701E-7</v>
      </c>
      <c r="X325" s="2"/>
      <c r="Z325">
        <v>3.66</v>
      </c>
      <c r="AA325" t="s">
        <v>51</v>
      </c>
      <c r="AB325" t="s">
        <v>285</v>
      </c>
    </row>
    <row r="326" spans="1:28" x14ac:dyDescent="0.35">
      <c r="A326" t="s">
        <v>166</v>
      </c>
      <c r="B326" t="s">
        <v>168</v>
      </c>
      <c r="C326" t="s">
        <v>106</v>
      </c>
      <c r="D326" t="s">
        <v>107</v>
      </c>
      <c r="E326" t="s">
        <v>108</v>
      </c>
      <c r="F326" t="s">
        <v>109</v>
      </c>
      <c r="G326" t="s">
        <v>109</v>
      </c>
      <c r="H326" t="s">
        <v>109</v>
      </c>
      <c r="I326" t="s">
        <v>109</v>
      </c>
      <c r="J326" s="5">
        <f>7*[35]Nobel_etal_1993_Fig4a!$B11</f>
        <v>28</v>
      </c>
      <c r="K326" t="s">
        <v>281</v>
      </c>
      <c r="L326" t="s">
        <v>281</v>
      </c>
      <c r="M326" t="s">
        <v>281</v>
      </c>
      <c r="R326" t="s">
        <v>193</v>
      </c>
      <c r="S326" t="s">
        <v>112</v>
      </c>
      <c r="T326" t="s">
        <v>110</v>
      </c>
      <c r="U326" t="s">
        <v>211</v>
      </c>
      <c r="W326" s="1">
        <f>[35]Nobel_etal_1993_Fig4a!C11</f>
        <v>2.8210526315789398E-7</v>
      </c>
      <c r="X326" s="2"/>
      <c r="Z326">
        <v>3.66</v>
      </c>
      <c r="AA326" t="s">
        <v>51</v>
      </c>
      <c r="AB326" t="s">
        <v>285</v>
      </c>
    </row>
    <row r="327" spans="1:28" x14ac:dyDescent="0.35">
      <c r="A327" t="s">
        <v>166</v>
      </c>
      <c r="B327" t="s">
        <v>168</v>
      </c>
      <c r="C327" t="s">
        <v>106</v>
      </c>
      <c r="D327" t="s">
        <v>107</v>
      </c>
      <c r="E327" t="s">
        <v>108</v>
      </c>
      <c r="F327" t="s">
        <v>109</v>
      </c>
      <c r="G327" t="s">
        <v>109</v>
      </c>
      <c r="H327" t="s">
        <v>109</v>
      </c>
      <c r="I327" t="s">
        <v>109</v>
      </c>
      <c r="J327" s="5">
        <f>7*[35]Nobel_etal_1993_Fig4a!$B12</f>
        <v>42</v>
      </c>
      <c r="K327" t="s">
        <v>281</v>
      </c>
      <c r="L327" t="s">
        <v>281</v>
      </c>
      <c r="M327" t="s">
        <v>281</v>
      </c>
      <c r="R327" t="s">
        <v>193</v>
      </c>
      <c r="S327" t="s">
        <v>112</v>
      </c>
      <c r="T327" t="s">
        <v>110</v>
      </c>
      <c r="U327" t="s">
        <v>211</v>
      </c>
      <c r="W327" s="1">
        <f>[35]Nobel_etal_1993_Fig4a!C12</f>
        <v>1.7964912280701701E-7</v>
      </c>
      <c r="X327" s="2"/>
      <c r="Z327">
        <v>3.66</v>
      </c>
      <c r="AA327" t="s">
        <v>51</v>
      </c>
      <c r="AB327" t="s">
        <v>285</v>
      </c>
    </row>
    <row r="328" spans="1:28" x14ac:dyDescent="0.35">
      <c r="A328" t="s">
        <v>166</v>
      </c>
      <c r="B328" t="s">
        <v>168</v>
      </c>
      <c r="C328" t="s">
        <v>106</v>
      </c>
      <c r="D328" t="s">
        <v>107</v>
      </c>
      <c r="E328" t="s">
        <v>108</v>
      </c>
      <c r="F328" t="s">
        <v>109</v>
      </c>
      <c r="G328" t="s">
        <v>109</v>
      </c>
      <c r="H328" t="s">
        <v>109</v>
      </c>
      <c r="I328" t="s">
        <v>109</v>
      </c>
      <c r="J328" s="5">
        <f>7*[35]Nobel_etal_1993_Fig4a!$B13</f>
        <v>56</v>
      </c>
      <c r="K328" t="s">
        <v>281</v>
      </c>
      <c r="L328" t="s">
        <v>281</v>
      </c>
      <c r="M328" t="s">
        <v>281</v>
      </c>
      <c r="R328" t="s">
        <v>193</v>
      </c>
      <c r="S328" t="s">
        <v>112</v>
      </c>
      <c r="T328" t="s">
        <v>110</v>
      </c>
      <c r="U328" t="s">
        <v>211</v>
      </c>
      <c r="W328" s="1">
        <f>[35]Nobel_etal_1993_Fig4a!C13</f>
        <v>8.42105263157895E-8</v>
      </c>
      <c r="X328" s="2"/>
      <c r="Z328">
        <v>3.66</v>
      </c>
      <c r="AA328" t="s">
        <v>51</v>
      </c>
      <c r="AB328" t="s">
        <v>285</v>
      </c>
    </row>
    <row r="329" spans="1:28" x14ac:dyDescent="0.35">
      <c r="A329" t="s">
        <v>166</v>
      </c>
      <c r="B329" t="s">
        <v>168</v>
      </c>
      <c r="C329" t="s">
        <v>106</v>
      </c>
      <c r="D329" t="s">
        <v>107</v>
      </c>
      <c r="E329" t="s">
        <v>108</v>
      </c>
      <c r="F329" t="s">
        <v>109</v>
      </c>
      <c r="G329" t="s">
        <v>109</v>
      </c>
      <c r="H329" t="s">
        <v>109</v>
      </c>
      <c r="I329" t="s">
        <v>109</v>
      </c>
      <c r="J329" s="5">
        <f>7*[35]Nobel_etal_1993_Fig4a!$B14</f>
        <v>84</v>
      </c>
      <c r="K329" t="s">
        <v>281</v>
      </c>
      <c r="L329" t="s">
        <v>281</v>
      </c>
      <c r="M329" t="s">
        <v>281</v>
      </c>
      <c r="R329" t="s">
        <v>193</v>
      </c>
      <c r="S329" t="s">
        <v>112</v>
      </c>
      <c r="T329" t="s">
        <v>70</v>
      </c>
      <c r="U329" t="s">
        <v>211</v>
      </c>
      <c r="W329" s="1">
        <f>[35]Nobel_etal_1993_Fig4a!C14</f>
        <v>7.2982456140350803E-8</v>
      </c>
      <c r="X329" s="2"/>
      <c r="Z329">
        <v>3.66</v>
      </c>
      <c r="AA329" t="s">
        <v>51</v>
      </c>
      <c r="AB329" t="s">
        <v>285</v>
      </c>
    </row>
    <row r="330" spans="1:28" x14ac:dyDescent="0.35">
      <c r="A330" t="s">
        <v>166</v>
      </c>
      <c r="B330" t="s">
        <v>168</v>
      </c>
      <c r="C330" t="s">
        <v>106</v>
      </c>
      <c r="D330" t="s">
        <v>107</v>
      </c>
      <c r="E330" t="s">
        <v>108</v>
      </c>
      <c r="F330" t="s">
        <v>109</v>
      </c>
      <c r="G330" t="s">
        <v>109</v>
      </c>
      <c r="H330" t="s">
        <v>109</v>
      </c>
      <c r="I330" t="s">
        <v>109</v>
      </c>
      <c r="J330" s="5">
        <f>7*[35]Nobel_etal_1993_Fig4a!$B15</f>
        <v>112</v>
      </c>
      <c r="K330" t="s">
        <v>281</v>
      </c>
      <c r="L330" t="s">
        <v>281</v>
      </c>
      <c r="M330" t="s">
        <v>281</v>
      </c>
      <c r="R330" t="s">
        <v>193</v>
      </c>
      <c r="S330" t="s">
        <v>112</v>
      </c>
      <c r="T330" t="s">
        <v>70</v>
      </c>
      <c r="U330" t="s">
        <v>211</v>
      </c>
      <c r="W330" s="1">
        <f>[35]Nobel_etal_1993_Fig4a!C15</f>
        <v>3.36842105263158E-8</v>
      </c>
      <c r="X330" s="2"/>
      <c r="Z330">
        <v>3.66</v>
      </c>
      <c r="AA330" t="s">
        <v>51</v>
      </c>
      <c r="AB330" t="s">
        <v>285</v>
      </c>
    </row>
    <row r="331" spans="1:28" x14ac:dyDescent="0.35">
      <c r="A331" t="s">
        <v>166</v>
      </c>
      <c r="B331" t="s">
        <v>167</v>
      </c>
      <c r="C331" t="s">
        <v>106</v>
      </c>
      <c r="D331" t="s">
        <v>107</v>
      </c>
      <c r="E331" t="s">
        <v>108</v>
      </c>
      <c r="F331" t="s">
        <v>109</v>
      </c>
      <c r="G331" t="s">
        <v>109</v>
      </c>
      <c r="H331" t="s">
        <v>109</v>
      </c>
      <c r="I331" t="s">
        <v>109</v>
      </c>
      <c r="J331">
        <f>2*7</f>
        <v>14</v>
      </c>
      <c r="K331" t="s">
        <v>281</v>
      </c>
      <c r="L331" t="s">
        <v>281</v>
      </c>
      <c r="M331" t="s">
        <v>281</v>
      </c>
      <c r="R331" t="s">
        <v>193</v>
      </c>
      <c r="S331" t="s">
        <v>148</v>
      </c>
      <c r="T331" t="s">
        <v>26</v>
      </c>
      <c r="U331" t="s">
        <v>211</v>
      </c>
      <c r="W331" s="1">
        <v>3.9099999999999999E-7</v>
      </c>
      <c r="X331" s="2"/>
      <c r="Z331">
        <v>0.81</v>
      </c>
      <c r="AA331" t="s">
        <v>51</v>
      </c>
      <c r="AB331" t="s">
        <v>284</v>
      </c>
    </row>
    <row r="332" spans="1:28" x14ac:dyDescent="0.35">
      <c r="A332" t="s">
        <v>166</v>
      </c>
      <c r="B332" t="s">
        <v>167</v>
      </c>
      <c r="C332" t="s">
        <v>106</v>
      </c>
      <c r="D332" t="s">
        <v>107</v>
      </c>
      <c r="E332" t="s">
        <v>108</v>
      </c>
      <c r="F332" t="s">
        <v>109</v>
      </c>
      <c r="G332" t="s">
        <v>109</v>
      </c>
      <c r="H332" t="s">
        <v>109</v>
      </c>
      <c r="I332" t="s">
        <v>109</v>
      </c>
      <c r="J332">
        <f>6*7</f>
        <v>42</v>
      </c>
      <c r="K332" t="s">
        <v>281</v>
      </c>
      <c r="L332" t="s">
        <v>281</v>
      </c>
      <c r="M332" t="s">
        <v>281</v>
      </c>
      <c r="R332" t="s">
        <v>193</v>
      </c>
      <c r="S332" t="s">
        <v>148</v>
      </c>
      <c r="T332" t="s">
        <v>70</v>
      </c>
      <c r="U332" t="s">
        <v>211</v>
      </c>
      <c r="W332" s="1">
        <v>1.2800000000000001E-7</v>
      </c>
      <c r="X332" s="2"/>
      <c r="Z332">
        <v>0.81</v>
      </c>
      <c r="AA332" t="s">
        <v>51</v>
      </c>
      <c r="AB332" t="s">
        <v>284</v>
      </c>
    </row>
    <row r="333" spans="1:28" x14ac:dyDescent="0.35">
      <c r="A333" t="s">
        <v>166</v>
      </c>
      <c r="B333" t="s">
        <v>168</v>
      </c>
      <c r="C333" t="s">
        <v>106</v>
      </c>
      <c r="D333" t="s">
        <v>107</v>
      </c>
      <c r="E333" t="s">
        <v>108</v>
      </c>
      <c r="F333" t="s">
        <v>109</v>
      </c>
      <c r="G333" t="s">
        <v>109</v>
      </c>
      <c r="H333" t="s">
        <v>109</v>
      </c>
      <c r="I333" t="s">
        <v>109</v>
      </c>
      <c r="J333">
        <f>2*7</f>
        <v>14</v>
      </c>
      <c r="K333" t="s">
        <v>281</v>
      </c>
      <c r="L333" t="s">
        <v>281</v>
      </c>
      <c r="M333" t="s">
        <v>281</v>
      </c>
      <c r="R333" t="s">
        <v>193</v>
      </c>
      <c r="S333" t="s">
        <v>148</v>
      </c>
      <c r="T333" t="s">
        <v>26</v>
      </c>
      <c r="U333" t="s">
        <v>211</v>
      </c>
      <c r="W333" s="1">
        <v>2.7300000000000002E-7</v>
      </c>
      <c r="X333" s="2"/>
      <c r="Z333">
        <v>0.82</v>
      </c>
      <c r="AA333" t="s">
        <v>51</v>
      </c>
      <c r="AB333" t="s">
        <v>284</v>
      </c>
    </row>
    <row r="334" spans="1:28" x14ac:dyDescent="0.35">
      <c r="A334" t="s">
        <v>166</v>
      </c>
      <c r="B334" t="s">
        <v>168</v>
      </c>
      <c r="C334" t="s">
        <v>106</v>
      </c>
      <c r="D334" t="s">
        <v>107</v>
      </c>
      <c r="E334" t="s">
        <v>108</v>
      </c>
      <c r="F334" t="s">
        <v>109</v>
      </c>
      <c r="G334" t="s">
        <v>109</v>
      </c>
      <c r="H334" t="s">
        <v>109</v>
      </c>
      <c r="I334" t="s">
        <v>109</v>
      </c>
      <c r="J334">
        <f>6*7</f>
        <v>42</v>
      </c>
      <c r="K334" t="s">
        <v>281</v>
      </c>
      <c r="L334" t="s">
        <v>281</v>
      </c>
      <c r="M334" t="s">
        <v>281</v>
      </c>
      <c r="R334" t="s">
        <v>193</v>
      </c>
      <c r="S334" t="s">
        <v>148</v>
      </c>
      <c r="T334" t="s">
        <v>70</v>
      </c>
      <c r="U334" t="s">
        <v>211</v>
      </c>
      <c r="W334" s="1">
        <v>1.43E-7</v>
      </c>
      <c r="X334" s="2"/>
      <c r="Z334">
        <v>0.82</v>
      </c>
      <c r="AA334" t="s">
        <v>51</v>
      </c>
      <c r="AB334" t="s">
        <v>284</v>
      </c>
    </row>
    <row r="335" spans="1:28" x14ac:dyDescent="0.35">
      <c r="A335" t="s">
        <v>166</v>
      </c>
      <c r="B335" t="s">
        <v>168</v>
      </c>
      <c r="C335" t="s">
        <v>106</v>
      </c>
      <c r="D335" t="s">
        <v>107</v>
      </c>
      <c r="E335" t="s">
        <v>108</v>
      </c>
      <c r="F335" t="s">
        <v>109</v>
      </c>
      <c r="G335" t="s">
        <v>109</v>
      </c>
      <c r="H335" t="s">
        <v>109</v>
      </c>
      <c r="I335" t="s">
        <v>109</v>
      </c>
      <c r="J335" s="5">
        <f>7*[36]Nobel_etal_1993_Fig4c!$B2</f>
        <v>7</v>
      </c>
      <c r="K335" t="s">
        <v>281</v>
      </c>
      <c r="L335" t="s">
        <v>281</v>
      </c>
      <c r="M335" t="s">
        <v>281</v>
      </c>
      <c r="R335" t="s">
        <v>193</v>
      </c>
      <c r="S335" t="s">
        <v>112</v>
      </c>
      <c r="T335" t="s">
        <v>26</v>
      </c>
      <c r="U335" t="s">
        <v>211</v>
      </c>
      <c r="W335" s="1">
        <f>[36]Nobel_etal_1993_Fig4c!C2</f>
        <v>2.8062827225130702E-7</v>
      </c>
      <c r="X335" s="2"/>
      <c r="Z335">
        <v>3.43</v>
      </c>
      <c r="AA335" t="s">
        <v>51</v>
      </c>
      <c r="AB335" t="s">
        <v>284</v>
      </c>
    </row>
    <row r="336" spans="1:28" x14ac:dyDescent="0.35">
      <c r="A336" t="s">
        <v>166</v>
      </c>
      <c r="B336" t="s">
        <v>167</v>
      </c>
      <c r="C336" t="s">
        <v>106</v>
      </c>
      <c r="D336" t="s">
        <v>107</v>
      </c>
      <c r="E336" t="s">
        <v>108</v>
      </c>
      <c r="F336" t="s">
        <v>109</v>
      </c>
      <c r="G336" t="s">
        <v>109</v>
      </c>
      <c r="H336" t="s">
        <v>109</v>
      </c>
      <c r="I336" t="s">
        <v>109</v>
      </c>
      <c r="J336" s="5">
        <f>7*[36]Nobel_etal_1993_Fig4c!$B3</f>
        <v>14</v>
      </c>
      <c r="K336" t="s">
        <v>281</v>
      </c>
      <c r="L336" t="s">
        <v>281</v>
      </c>
      <c r="M336" t="s">
        <v>281</v>
      </c>
      <c r="R336" t="s">
        <v>193</v>
      </c>
      <c r="S336" t="s">
        <v>112</v>
      </c>
      <c r="T336" t="s">
        <v>26</v>
      </c>
      <c r="U336" t="s">
        <v>211</v>
      </c>
      <c r="W336" s="1">
        <f>[36]Nobel_etal_1993_Fig4c!C3</f>
        <v>2.9319371727748501E-7</v>
      </c>
      <c r="X336" s="2"/>
      <c r="Z336">
        <v>3.43</v>
      </c>
      <c r="AA336" t="s">
        <v>51</v>
      </c>
      <c r="AB336" t="s">
        <v>284</v>
      </c>
    </row>
    <row r="337" spans="1:28" x14ac:dyDescent="0.35">
      <c r="A337" t="s">
        <v>166</v>
      </c>
      <c r="B337" t="s">
        <v>167</v>
      </c>
      <c r="C337" t="s">
        <v>106</v>
      </c>
      <c r="D337" t="s">
        <v>107</v>
      </c>
      <c r="E337" t="s">
        <v>108</v>
      </c>
      <c r="F337" t="s">
        <v>109</v>
      </c>
      <c r="G337" t="s">
        <v>109</v>
      </c>
      <c r="H337" t="s">
        <v>109</v>
      </c>
      <c r="I337" t="s">
        <v>109</v>
      </c>
      <c r="J337" s="5">
        <f>7*[36]Nobel_etal_1993_Fig4c!$B4</f>
        <v>28</v>
      </c>
      <c r="K337" t="s">
        <v>281</v>
      </c>
      <c r="L337" t="s">
        <v>281</v>
      </c>
      <c r="M337" t="s">
        <v>281</v>
      </c>
      <c r="R337" t="s">
        <v>193</v>
      </c>
      <c r="S337" t="s">
        <v>112</v>
      </c>
      <c r="T337" t="s">
        <v>110</v>
      </c>
      <c r="U337" t="s">
        <v>211</v>
      </c>
      <c r="W337" s="1">
        <f>[36]Nobel_etal_1993_Fig4c!C4</f>
        <v>4.0418848167539E-7</v>
      </c>
      <c r="X337" s="2"/>
      <c r="Z337">
        <v>3.43</v>
      </c>
      <c r="AA337" t="s">
        <v>51</v>
      </c>
      <c r="AB337" t="s">
        <v>284</v>
      </c>
    </row>
    <row r="338" spans="1:28" x14ac:dyDescent="0.35">
      <c r="A338" t="s">
        <v>166</v>
      </c>
      <c r="B338" t="s">
        <v>167</v>
      </c>
      <c r="C338" t="s">
        <v>106</v>
      </c>
      <c r="D338" t="s">
        <v>107</v>
      </c>
      <c r="E338" t="s">
        <v>108</v>
      </c>
      <c r="F338" t="s">
        <v>109</v>
      </c>
      <c r="G338" t="s">
        <v>109</v>
      </c>
      <c r="H338" t="s">
        <v>109</v>
      </c>
      <c r="I338" t="s">
        <v>109</v>
      </c>
      <c r="J338" s="5">
        <f>7*[36]Nobel_etal_1993_Fig4c!$B5</f>
        <v>42</v>
      </c>
      <c r="K338" t="s">
        <v>281</v>
      </c>
      <c r="L338" t="s">
        <v>281</v>
      </c>
      <c r="M338" t="s">
        <v>281</v>
      </c>
      <c r="R338" t="s">
        <v>193</v>
      </c>
      <c r="S338" t="s">
        <v>112</v>
      </c>
      <c r="T338" t="s">
        <v>110</v>
      </c>
      <c r="U338" t="s">
        <v>211</v>
      </c>
      <c r="W338" s="1">
        <f>[36]Nobel_etal_1993_Fig4c!C5</f>
        <v>3.22513089005233E-7</v>
      </c>
      <c r="X338" s="2"/>
      <c r="Z338">
        <v>3.43</v>
      </c>
      <c r="AA338" t="s">
        <v>51</v>
      </c>
      <c r="AB338" t="s">
        <v>284</v>
      </c>
    </row>
    <row r="339" spans="1:28" x14ac:dyDescent="0.35">
      <c r="A339" t="s">
        <v>166</v>
      </c>
      <c r="B339" t="s">
        <v>167</v>
      </c>
      <c r="C339" t="s">
        <v>106</v>
      </c>
      <c r="D339" t="s">
        <v>107</v>
      </c>
      <c r="E339" t="s">
        <v>108</v>
      </c>
      <c r="F339" t="s">
        <v>109</v>
      </c>
      <c r="G339" t="s">
        <v>109</v>
      </c>
      <c r="H339" t="s">
        <v>109</v>
      </c>
      <c r="I339" t="s">
        <v>109</v>
      </c>
      <c r="J339" s="5">
        <f>7*[36]Nobel_etal_1993_Fig4c!$B6</f>
        <v>56</v>
      </c>
      <c r="K339" t="s">
        <v>281</v>
      </c>
      <c r="L339" t="s">
        <v>281</v>
      </c>
      <c r="M339" t="s">
        <v>281</v>
      </c>
      <c r="R339" t="s">
        <v>193</v>
      </c>
      <c r="S339" t="s">
        <v>112</v>
      </c>
      <c r="T339" t="s">
        <v>110</v>
      </c>
      <c r="U339" t="s">
        <v>211</v>
      </c>
      <c r="W339" s="1">
        <f>[36]Nobel_etal_1993_Fig4c!C6</f>
        <v>2.8272251308900298E-7</v>
      </c>
      <c r="X339" s="2"/>
      <c r="Z339">
        <v>3.43</v>
      </c>
      <c r="AA339" t="s">
        <v>51</v>
      </c>
      <c r="AB339" t="s">
        <v>284</v>
      </c>
    </row>
    <row r="340" spans="1:28" x14ac:dyDescent="0.35">
      <c r="A340" t="s">
        <v>166</v>
      </c>
      <c r="B340" t="s">
        <v>167</v>
      </c>
      <c r="C340" t="s">
        <v>106</v>
      </c>
      <c r="D340" t="s">
        <v>107</v>
      </c>
      <c r="E340" t="s">
        <v>108</v>
      </c>
      <c r="F340" t="s">
        <v>109</v>
      </c>
      <c r="G340" t="s">
        <v>109</v>
      </c>
      <c r="H340" t="s">
        <v>109</v>
      </c>
      <c r="I340" t="s">
        <v>109</v>
      </c>
      <c r="J340" s="5">
        <f>7*[36]Nobel_etal_1993_Fig4c!$B7</f>
        <v>84</v>
      </c>
      <c r="K340" t="s">
        <v>281</v>
      </c>
      <c r="L340" t="s">
        <v>281</v>
      </c>
      <c r="M340" t="s">
        <v>281</v>
      </c>
      <c r="R340" t="s">
        <v>193</v>
      </c>
      <c r="S340" t="s">
        <v>112</v>
      </c>
      <c r="T340" t="s">
        <v>70</v>
      </c>
      <c r="U340" t="s">
        <v>211</v>
      </c>
      <c r="W340" s="1">
        <f>[36]Nobel_etal_1993_Fig4c!C7</f>
        <v>1.3193717277486599E-7</v>
      </c>
      <c r="X340" s="2"/>
      <c r="Z340">
        <v>3.43</v>
      </c>
      <c r="AA340" t="s">
        <v>51</v>
      </c>
      <c r="AB340" t="s">
        <v>284</v>
      </c>
    </row>
    <row r="341" spans="1:28" x14ac:dyDescent="0.35">
      <c r="A341" t="s">
        <v>166</v>
      </c>
      <c r="B341" t="s">
        <v>167</v>
      </c>
      <c r="C341" t="s">
        <v>106</v>
      </c>
      <c r="D341" t="s">
        <v>107</v>
      </c>
      <c r="E341" t="s">
        <v>108</v>
      </c>
      <c r="F341" t="s">
        <v>109</v>
      </c>
      <c r="G341" t="s">
        <v>109</v>
      </c>
      <c r="H341" t="s">
        <v>109</v>
      </c>
      <c r="I341" t="s">
        <v>109</v>
      </c>
      <c r="J341" s="5">
        <f>7*[36]Nobel_etal_1993_Fig4c!$B8</f>
        <v>112</v>
      </c>
      <c r="K341" t="s">
        <v>281</v>
      </c>
      <c r="L341" t="s">
        <v>281</v>
      </c>
      <c r="M341" t="s">
        <v>281</v>
      </c>
      <c r="R341" t="s">
        <v>193</v>
      </c>
      <c r="S341" t="s">
        <v>112</v>
      </c>
      <c r="T341" t="s">
        <v>70</v>
      </c>
      <c r="U341" t="s">
        <v>211</v>
      </c>
      <c r="W341" s="1">
        <f>[36]Nobel_etal_1993_Fig4c!C8</f>
        <v>5.0261780104710398E-8</v>
      </c>
      <c r="X341" s="2"/>
      <c r="Z341">
        <v>3.43</v>
      </c>
      <c r="AA341" t="s">
        <v>51</v>
      </c>
      <c r="AB341" t="s">
        <v>284</v>
      </c>
    </row>
    <row r="342" spans="1:28" x14ac:dyDescent="0.35">
      <c r="A342" t="s">
        <v>166</v>
      </c>
      <c r="B342" t="s">
        <v>167</v>
      </c>
      <c r="C342" t="s">
        <v>106</v>
      </c>
      <c r="D342" t="s">
        <v>107</v>
      </c>
      <c r="E342" t="s">
        <v>108</v>
      </c>
      <c r="F342" t="s">
        <v>109</v>
      </c>
      <c r="G342" t="s">
        <v>109</v>
      </c>
      <c r="H342" t="s">
        <v>109</v>
      </c>
      <c r="I342" t="s">
        <v>109</v>
      </c>
      <c r="J342" s="5">
        <f>7*[36]Nobel_etal_1993_Fig4c!$B9</f>
        <v>7</v>
      </c>
      <c r="K342" t="s">
        <v>281</v>
      </c>
      <c r="L342" t="s">
        <v>281</v>
      </c>
      <c r="M342" t="s">
        <v>281</v>
      </c>
      <c r="R342" t="s">
        <v>193</v>
      </c>
      <c r="S342" t="s">
        <v>112</v>
      </c>
      <c r="T342" t="s">
        <v>26</v>
      </c>
      <c r="U342" t="s">
        <v>211</v>
      </c>
      <c r="W342" s="1">
        <f>[36]Nobel_etal_1993_Fig4c!C9</f>
        <v>3.4345549738219599E-7</v>
      </c>
      <c r="X342" s="2"/>
      <c r="Z342">
        <v>3.66</v>
      </c>
      <c r="AA342" t="s">
        <v>51</v>
      </c>
      <c r="AB342" t="s">
        <v>284</v>
      </c>
    </row>
    <row r="343" spans="1:28" x14ac:dyDescent="0.35">
      <c r="A343" t="s">
        <v>166</v>
      </c>
      <c r="B343" t="s">
        <v>168</v>
      </c>
      <c r="C343" t="s">
        <v>106</v>
      </c>
      <c r="D343" t="s">
        <v>107</v>
      </c>
      <c r="E343" t="s">
        <v>108</v>
      </c>
      <c r="F343" t="s">
        <v>109</v>
      </c>
      <c r="G343" t="s">
        <v>109</v>
      </c>
      <c r="H343" t="s">
        <v>109</v>
      </c>
      <c r="I343" t="s">
        <v>109</v>
      </c>
      <c r="J343" s="5">
        <f>7*[36]Nobel_etal_1993_Fig4c!$B10</f>
        <v>14</v>
      </c>
      <c r="K343" t="s">
        <v>281</v>
      </c>
      <c r="L343" t="s">
        <v>281</v>
      </c>
      <c r="M343" t="s">
        <v>281</v>
      </c>
      <c r="R343" t="s">
        <v>193</v>
      </c>
      <c r="S343" t="s">
        <v>112</v>
      </c>
      <c r="T343" t="s">
        <v>26</v>
      </c>
      <c r="U343" t="s">
        <v>211</v>
      </c>
      <c r="W343" s="1">
        <f>[36]Nobel_etal_1993_Fig4c!C10</f>
        <v>3.4973821989528598E-7</v>
      </c>
      <c r="X343" s="2"/>
      <c r="Z343">
        <v>3.66</v>
      </c>
      <c r="AA343" t="s">
        <v>51</v>
      </c>
      <c r="AB343" t="s">
        <v>284</v>
      </c>
    </row>
    <row r="344" spans="1:28" x14ac:dyDescent="0.35">
      <c r="A344" t="s">
        <v>166</v>
      </c>
      <c r="B344" t="s">
        <v>168</v>
      </c>
      <c r="C344" t="s">
        <v>106</v>
      </c>
      <c r="D344" t="s">
        <v>107</v>
      </c>
      <c r="E344" t="s">
        <v>108</v>
      </c>
      <c r="F344" t="s">
        <v>109</v>
      </c>
      <c r="G344" t="s">
        <v>109</v>
      </c>
      <c r="H344" t="s">
        <v>109</v>
      </c>
      <c r="I344" t="s">
        <v>109</v>
      </c>
      <c r="J344" s="5">
        <f>7*[36]Nobel_etal_1993_Fig4c!$B11</f>
        <v>28</v>
      </c>
      <c r="K344" t="s">
        <v>281</v>
      </c>
      <c r="L344" t="s">
        <v>281</v>
      </c>
      <c r="M344" t="s">
        <v>281</v>
      </c>
      <c r="R344" t="s">
        <v>193</v>
      </c>
      <c r="S344" t="s">
        <v>112</v>
      </c>
      <c r="T344" t="s">
        <v>110</v>
      </c>
      <c r="U344" t="s">
        <v>211</v>
      </c>
      <c r="W344" s="1">
        <f>[36]Nobel_etal_1993_Fig4c!C11</f>
        <v>4.5863874345549501E-7</v>
      </c>
      <c r="X344" s="2"/>
      <c r="Z344">
        <v>3.66</v>
      </c>
      <c r="AA344" t="s">
        <v>51</v>
      </c>
      <c r="AB344" t="s">
        <v>284</v>
      </c>
    </row>
    <row r="345" spans="1:28" x14ac:dyDescent="0.35">
      <c r="A345" t="s">
        <v>166</v>
      </c>
      <c r="B345" t="s">
        <v>168</v>
      </c>
      <c r="C345" t="s">
        <v>106</v>
      </c>
      <c r="D345" t="s">
        <v>107</v>
      </c>
      <c r="E345" t="s">
        <v>108</v>
      </c>
      <c r="F345" t="s">
        <v>109</v>
      </c>
      <c r="G345" t="s">
        <v>109</v>
      </c>
      <c r="H345" t="s">
        <v>109</v>
      </c>
      <c r="I345" t="s">
        <v>109</v>
      </c>
      <c r="J345" s="5">
        <f>7*[36]Nobel_etal_1993_Fig4c!$B12</f>
        <v>42</v>
      </c>
      <c r="K345" t="s">
        <v>281</v>
      </c>
      <c r="L345" t="s">
        <v>281</v>
      </c>
      <c r="M345" t="s">
        <v>281</v>
      </c>
      <c r="R345" t="s">
        <v>193</v>
      </c>
      <c r="S345" t="s">
        <v>112</v>
      </c>
      <c r="T345" t="s">
        <v>110</v>
      </c>
      <c r="U345" t="s">
        <v>211</v>
      </c>
      <c r="W345" s="1">
        <f>[36]Nobel_etal_1993_Fig4c!C12</f>
        <v>3.0994764397905502E-7</v>
      </c>
      <c r="X345" s="2"/>
      <c r="Z345">
        <v>3.66</v>
      </c>
      <c r="AA345" t="s">
        <v>51</v>
      </c>
      <c r="AB345" t="s">
        <v>284</v>
      </c>
    </row>
    <row r="346" spans="1:28" x14ac:dyDescent="0.35">
      <c r="A346" t="s">
        <v>166</v>
      </c>
      <c r="B346" t="s">
        <v>168</v>
      </c>
      <c r="C346" t="s">
        <v>106</v>
      </c>
      <c r="D346" t="s">
        <v>107</v>
      </c>
      <c r="E346" t="s">
        <v>108</v>
      </c>
      <c r="F346" t="s">
        <v>109</v>
      </c>
      <c r="G346" t="s">
        <v>109</v>
      </c>
      <c r="H346" t="s">
        <v>109</v>
      </c>
      <c r="I346" t="s">
        <v>109</v>
      </c>
      <c r="J346" s="5">
        <f>7*[36]Nobel_etal_1993_Fig4c!$B13</f>
        <v>56</v>
      </c>
      <c r="K346" t="s">
        <v>281</v>
      </c>
      <c r="L346" t="s">
        <v>281</v>
      </c>
      <c r="M346" t="s">
        <v>281</v>
      </c>
      <c r="R346" t="s">
        <v>193</v>
      </c>
      <c r="S346" t="s">
        <v>112</v>
      </c>
      <c r="T346" t="s">
        <v>110</v>
      </c>
      <c r="U346" t="s">
        <v>211</v>
      </c>
      <c r="W346" s="1">
        <f>[36]Nobel_etal_1993_Fig4c!C13</f>
        <v>2.3036649214659501E-7</v>
      </c>
      <c r="X346" s="2"/>
      <c r="Z346">
        <v>3.66</v>
      </c>
      <c r="AA346" t="s">
        <v>51</v>
      </c>
      <c r="AB346" t="s">
        <v>284</v>
      </c>
    </row>
    <row r="347" spans="1:28" x14ac:dyDescent="0.35">
      <c r="A347" t="s">
        <v>166</v>
      </c>
      <c r="B347" t="s">
        <v>168</v>
      </c>
      <c r="C347" t="s">
        <v>106</v>
      </c>
      <c r="D347" t="s">
        <v>107</v>
      </c>
      <c r="E347" t="s">
        <v>108</v>
      </c>
      <c r="F347" t="s">
        <v>109</v>
      </c>
      <c r="G347" t="s">
        <v>109</v>
      </c>
      <c r="H347" t="s">
        <v>109</v>
      </c>
      <c r="I347" t="s">
        <v>109</v>
      </c>
      <c r="J347" s="5">
        <f>7*[36]Nobel_etal_1993_Fig4c!$B14</f>
        <v>84</v>
      </c>
      <c r="K347" t="s">
        <v>281</v>
      </c>
      <c r="L347" t="s">
        <v>281</v>
      </c>
      <c r="M347" t="s">
        <v>281</v>
      </c>
      <c r="R347" t="s">
        <v>193</v>
      </c>
      <c r="S347" t="s">
        <v>112</v>
      </c>
      <c r="T347" t="s">
        <v>70</v>
      </c>
      <c r="U347" t="s">
        <v>211</v>
      </c>
      <c r="W347" s="1">
        <f>[36]Nobel_etal_1993_Fig4c!C14</f>
        <v>1.08900523560207E-7</v>
      </c>
      <c r="X347" s="2"/>
      <c r="Z347">
        <v>3.66</v>
      </c>
      <c r="AA347" t="s">
        <v>51</v>
      </c>
      <c r="AB347" t="s">
        <v>284</v>
      </c>
    </row>
    <row r="348" spans="1:28" x14ac:dyDescent="0.35">
      <c r="A348" t="s">
        <v>166</v>
      </c>
      <c r="B348" t="s">
        <v>168</v>
      </c>
      <c r="C348" t="s">
        <v>106</v>
      </c>
      <c r="D348" t="s">
        <v>107</v>
      </c>
      <c r="E348" t="s">
        <v>108</v>
      </c>
      <c r="F348" t="s">
        <v>109</v>
      </c>
      <c r="G348" t="s">
        <v>109</v>
      </c>
      <c r="H348" t="s">
        <v>109</v>
      </c>
      <c r="I348" t="s">
        <v>109</v>
      </c>
      <c r="J348" s="5">
        <f>7*[36]Nobel_etal_1993_Fig4c!$B15</f>
        <v>112</v>
      </c>
      <c r="K348" t="s">
        <v>281</v>
      </c>
      <c r="L348" t="s">
        <v>281</v>
      </c>
      <c r="M348" t="s">
        <v>281</v>
      </c>
      <c r="R348" t="s">
        <v>193</v>
      </c>
      <c r="S348" t="s">
        <v>112</v>
      </c>
      <c r="T348" t="s">
        <v>70</v>
      </c>
      <c r="U348" t="s">
        <v>211</v>
      </c>
      <c r="W348" s="1">
        <f>[36]Nobel_etal_1993_Fig4c!C15</f>
        <v>7.5392670157066404E-8</v>
      </c>
      <c r="X348" s="2"/>
      <c r="Z348">
        <v>3.66</v>
      </c>
      <c r="AA348" t="s">
        <v>51</v>
      </c>
      <c r="AB348" t="s">
        <v>284</v>
      </c>
    </row>
    <row r="349" spans="1:28" x14ac:dyDescent="0.35">
      <c r="A349" t="s">
        <v>145</v>
      </c>
      <c r="B349" t="s">
        <v>126</v>
      </c>
      <c r="C349" t="s">
        <v>127</v>
      </c>
      <c r="D349" t="s">
        <v>128</v>
      </c>
      <c r="E349" t="s">
        <v>12</v>
      </c>
      <c r="F349" t="s">
        <v>217</v>
      </c>
      <c r="G349" t="s">
        <v>217</v>
      </c>
      <c r="H349" t="s">
        <v>290</v>
      </c>
      <c r="I349" t="s">
        <v>294</v>
      </c>
      <c r="J349">
        <f>3+AVERAGE(6,22)</f>
        <v>17</v>
      </c>
      <c r="K349" t="s">
        <v>281</v>
      </c>
      <c r="L349" t="s">
        <v>281</v>
      </c>
      <c r="M349" t="s">
        <v>281</v>
      </c>
      <c r="R349" t="s">
        <v>193</v>
      </c>
      <c r="S349" t="s">
        <v>112</v>
      </c>
      <c r="T349" t="s">
        <v>26</v>
      </c>
      <c r="U349" t="s">
        <v>211</v>
      </c>
      <c r="W349" s="1">
        <f>'[37]Melchior&amp;Steudle_1993_Fig4d'!$D$11</f>
        <v>1.2749335161986299E-7</v>
      </c>
      <c r="Z349"/>
      <c r="AA349" t="s">
        <v>21</v>
      </c>
      <c r="AB349" t="s">
        <v>285</v>
      </c>
    </row>
    <row r="350" spans="1:28" x14ac:dyDescent="0.35">
      <c r="A350" t="s">
        <v>145</v>
      </c>
      <c r="B350" t="s">
        <v>126</v>
      </c>
      <c r="C350" t="s">
        <v>127</v>
      </c>
      <c r="D350" t="s">
        <v>128</v>
      </c>
      <c r="E350" t="s">
        <v>12</v>
      </c>
      <c r="F350" t="s">
        <v>217</v>
      </c>
      <c r="G350" t="s">
        <v>217</v>
      </c>
      <c r="H350" t="s">
        <v>290</v>
      </c>
      <c r="I350" t="s">
        <v>294</v>
      </c>
      <c r="J350">
        <f t="shared" ref="J350:J351" si="63">3+AVERAGE(6,22)</f>
        <v>17</v>
      </c>
      <c r="K350" t="s">
        <v>281</v>
      </c>
      <c r="L350" t="s">
        <v>281</v>
      </c>
      <c r="M350" t="s">
        <v>281</v>
      </c>
      <c r="R350" t="s">
        <v>193</v>
      </c>
      <c r="S350" t="s">
        <v>112</v>
      </c>
      <c r="T350" t="s">
        <v>110</v>
      </c>
      <c r="U350" t="s">
        <v>211</v>
      </c>
      <c r="W350" s="1">
        <f>'[37]Melchior&amp;Steudle_1993_Fig4d'!$D$20</f>
        <v>8.8427637190787603E-8</v>
      </c>
      <c r="Z350"/>
      <c r="AA350" t="s">
        <v>21</v>
      </c>
      <c r="AB350" t="s">
        <v>285</v>
      </c>
    </row>
    <row r="351" spans="1:28" x14ac:dyDescent="0.35">
      <c r="A351" t="s">
        <v>145</v>
      </c>
      <c r="B351" t="s">
        <v>126</v>
      </c>
      <c r="C351" t="s">
        <v>127</v>
      </c>
      <c r="D351" t="s">
        <v>128</v>
      </c>
      <c r="E351" t="s">
        <v>12</v>
      </c>
      <c r="F351" t="s">
        <v>217</v>
      </c>
      <c r="G351" t="s">
        <v>217</v>
      </c>
      <c r="H351" t="s">
        <v>290</v>
      </c>
      <c r="I351" t="s">
        <v>294</v>
      </c>
      <c r="J351">
        <f t="shared" si="63"/>
        <v>17</v>
      </c>
      <c r="K351" t="s">
        <v>281</v>
      </c>
      <c r="L351" t="s">
        <v>281</v>
      </c>
      <c r="M351" t="s">
        <v>281</v>
      </c>
      <c r="R351" t="s">
        <v>193</v>
      </c>
      <c r="S351" t="s">
        <v>112</v>
      </c>
      <c r="T351" t="s">
        <v>70</v>
      </c>
      <c r="U351" t="s">
        <v>211</v>
      </c>
      <c r="W351" s="1">
        <f>'[37]Melchior&amp;Steudle_1993_Fig4d'!$D$27</f>
        <v>4.0855341283513803E-8</v>
      </c>
      <c r="Z351"/>
      <c r="AA351" t="s">
        <v>21</v>
      </c>
      <c r="AB351" t="s">
        <v>285</v>
      </c>
    </row>
    <row r="352" spans="1:28" x14ac:dyDescent="0.35">
      <c r="A352" t="s">
        <v>146</v>
      </c>
      <c r="B352" t="s">
        <v>19</v>
      </c>
      <c r="C352" t="s">
        <v>20</v>
      </c>
      <c r="D352" t="s">
        <v>11</v>
      </c>
      <c r="E352" t="s">
        <v>14</v>
      </c>
      <c r="F352" t="s">
        <v>15</v>
      </c>
      <c r="G352" t="s">
        <v>15</v>
      </c>
      <c r="H352" t="s">
        <v>15</v>
      </c>
      <c r="I352" t="s">
        <v>242</v>
      </c>
      <c r="J352">
        <f>3+AVERAGE(3,14)</f>
        <v>11.5</v>
      </c>
      <c r="K352" t="s">
        <v>131</v>
      </c>
      <c r="L352" t="s">
        <v>16</v>
      </c>
      <c r="M352" t="str">
        <f t="shared" ref="M352:M369" si="64">+IF(L352="Control","Control","Stress")</f>
        <v>Control</v>
      </c>
      <c r="R352" t="s">
        <v>194</v>
      </c>
      <c r="S352" t="s">
        <v>29</v>
      </c>
      <c r="T352" t="s">
        <v>26</v>
      </c>
      <c r="U352" t="s">
        <v>211</v>
      </c>
      <c r="W352" s="1">
        <v>1.6E-7</v>
      </c>
      <c r="Z352" s="5">
        <f>+AVERAGE(0.9,1.1)</f>
        <v>1</v>
      </c>
      <c r="AA352" t="s">
        <v>21</v>
      </c>
      <c r="AB352" t="s">
        <v>285</v>
      </c>
    </row>
    <row r="353" spans="1:28" x14ac:dyDescent="0.35">
      <c r="A353" t="s">
        <v>146</v>
      </c>
      <c r="B353" t="s">
        <v>19</v>
      </c>
      <c r="C353" t="s">
        <v>20</v>
      </c>
      <c r="D353" t="s">
        <v>11</v>
      </c>
      <c r="E353" t="s">
        <v>14</v>
      </c>
      <c r="F353" t="s">
        <v>15</v>
      </c>
      <c r="G353" t="s">
        <v>15</v>
      </c>
      <c r="H353" t="s">
        <v>15</v>
      </c>
      <c r="I353" t="s">
        <v>242</v>
      </c>
      <c r="J353">
        <f t="shared" ref="J353:J369" si="65">3+AVERAGE(3,14)</f>
        <v>11.5</v>
      </c>
      <c r="K353" t="s">
        <v>131</v>
      </c>
      <c r="L353" t="s">
        <v>16</v>
      </c>
      <c r="M353" t="str">
        <f t="shared" si="64"/>
        <v>Control</v>
      </c>
      <c r="R353" t="s">
        <v>193</v>
      </c>
      <c r="S353" t="s">
        <v>29</v>
      </c>
      <c r="T353" t="s">
        <v>26</v>
      </c>
      <c r="U353" t="s">
        <v>211</v>
      </c>
      <c r="W353" s="1">
        <v>4.7E-7</v>
      </c>
      <c r="Z353" s="5">
        <f t="shared" ref="Z353:Z369" si="66">+AVERAGE(0.9,1.1)</f>
        <v>1</v>
      </c>
      <c r="AA353" t="s">
        <v>21</v>
      </c>
      <c r="AB353" t="s">
        <v>285</v>
      </c>
    </row>
    <row r="354" spans="1:28" x14ac:dyDescent="0.35">
      <c r="A354" t="s">
        <v>146</v>
      </c>
      <c r="B354" t="s">
        <v>19</v>
      </c>
      <c r="C354" t="s">
        <v>20</v>
      </c>
      <c r="D354" t="s">
        <v>11</v>
      </c>
      <c r="E354" t="s">
        <v>14</v>
      </c>
      <c r="F354" t="s">
        <v>15</v>
      </c>
      <c r="G354" t="s">
        <v>15</v>
      </c>
      <c r="H354" t="s">
        <v>15</v>
      </c>
      <c r="I354" t="s">
        <v>242</v>
      </c>
      <c r="J354">
        <f t="shared" si="65"/>
        <v>11.5</v>
      </c>
      <c r="K354" t="s">
        <v>131</v>
      </c>
      <c r="L354" t="s">
        <v>16</v>
      </c>
      <c r="M354" t="str">
        <f t="shared" si="64"/>
        <v>Control</v>
      </c>
      <c r="R354" t="s">
        <v>195</v>
      </c>
      <c r="S354" t="s">
        <v>29</v>
      </c>
      <c r="T354" t="s">
        <v>26</v>
      </c>
      <c r="U354" t="s">
        <v>211</v>
      </c>
      <c r="W354" s="1">
        <v>1.2699999999999999E-6</v>
      </c>
      <c r="Z354" s="5">
        <f t="shared" si="66"/>
        <v>1</v>
      </c>
      <c r="AA354" t="s">
        <v>21</v>
      </c>
      <c r="AB354" t="s">
        <v>285</v>
      </c>
    </row>
    <row r="355" spans="1:28" x14ac:dyDescent="0.35">
      <c r="A355" t="s">
        <v>146</v>
      </c>
      <c r="B355" t="s">
        <v>19</v>
      </c>
      <c r="C355" t="s">
        <v>20</v>
      </c>
      <c r="D355" t="s">
        <v>11</v>
      </c>
      <c r="E355" t="s">
        <v>14</v>
      </c>
      <c r="F355" t="s">
        <v>15</v>
      </c>
      <c r="G355" t="s">
        <v>15</v>
      </c>
      <c r="H355" t="s">
        <v>15</v>
      </c>
      <c r="I355" t="s">
        <v>242</v>
      </c>
      <c r="J355">
        <f t="shared" si="65"/>
        <v>11.5</v>
      </c>
      <c r="K355" t="s">
        <v>131</v>
      </c>
      <c r="L355" t="s">
        <v>131</v>
      </c>
      <c r="M355" t="str">
        <f t="shared" si="64"/>
        <v>Stress</v>
      </c>
      <c r="R355" t="s">
        <v>194</v>
      </c>
      <c r="S355" t="s">
        <v>29</v>
      </c>
      <c r="T355" t="s">
        <v>26</v>
      </c>
      <c r="U355" t="s">
        <v>211</v>
      </c>
      <c r="W355" s="1">
        <v>9.9999999999999995E-8</v>
      </c>
      <c r="Z355" s="5">
        <f t="shared" si="66"/>
        <v>1</v>
      </c>
      <c r="AA355" t="s">
        <v>21</v>
      </c>
      <c r="AB355" t="s">
        <v>285</v>
      </c>
    </row>
    <row r="356" spans="1:28" x14ac:dyDescent="0.35">
      <c r="A356" t="s">
        <v>146</v>
      </c>
      <c r="B356" t="s">
        <v>19</v>
      </c>
      <c r="C356" t="s">
        <v>20</v>
      </c>
      <c r="D356" t="s">
        <v>11</v>
      </c>
      <c r="E356" t="s">
        <v>14</v>
      </c>
      <c r="F356" t="s">
        <v>15</v>
      </c>
      <c r="G356" t="s">
        <v>15</v>
      </c>
      <c r="H356" t="s">
        <v>15</v>
      </c>
      <c r="I356" t="s">
        <v>242</v>
      </c>
      <c r="J356">
        <f t="shared" si="65"/>
        <v>11.5</v>
      </c>
      <c r="K356" t="s">
        <v>131</v>
      </c>
      <c r="L356" t="s">
        <v>131</v>
      </c>
      <c r="M356" t="str">
        <f t="shared" si="64"/>
        <v>Stress</v>
      </c>
      <c r="R356" t="s">
        <v>193</v>
      </c>
      <c r="S356" t="s">
        <v>29</v>
      </c>
      <c r="T356" t="s">
        <v>26</v>
      </c>
      <c r="U356" t="s">
        <v>211</v>
      </c>
      <c r="W356" s="1">
        <v>3.3999999999999997E-7</v>
      </c>
      <c r="Z356" s="5">
        <f t="shared" si="66"/>
        <v>1</v>
      </c>
      <c r="AA356" t="s">
        <v>21</v>
      </c>
      <c r="AB356" t="s">
        <v>285</v>
      </c>
    </row>
    <row r="357" spans="1:28" x14ac:dyDescent="0.35">
      <c r="A357" t="s">
        <v>146</v>
      </c>
      <c r="B357" t="s">
        <v>19</v>
      </c>
      <c r="C357" t="s">
        <v>20</v>
      </c>
      <c r="D357" t="s">
        <v>11</v>
      </c>
      <c r="E357" t="s">
        <v>14</v>
      </c>
      <c r="F357" t="s">
        <v>15</v>
      </c>
      <c r="G357" t="s">
        <v>15</v>
      </c>
      <c r="H357" t="s">
        <v>15</v>
      </c>
      <c r="I357" t="s">
        <v>242</v>
      </c>
      <c r="J357">
        <f t="shared" si="65"/>
        <v>11.5</v>
      </c>
      <c r="K357" t="s">
        <v>131</v>
      </c>
      <c r="L357" t="s">
        <v>131</v>
      </c>
      <c r="M357" t="str">
        <f t="shared" si="64"/>
        <v>Stress</v>
      </c>
      <c r="R357" t="s">
        <v>195</v>
      </c>
      <c r="S357" t="s">
        <v>29</v>
      </c>
      <c r="T357" t="s">
        <v>26</v>
      </c>
      <c r="U357" t="s">
        <v>211</v>
      </c>
      <c r="W357" s="1">
        <v>1.2499999999999999E-6</v>
      </c>
      <c r="Z357" s="5">
        <f t="shared" si="66"/>
        <v>1</v>
      </c>
      <c r="AA357" t="s">
        <v>21</v>
      </c>
      <c r="AB357" t="s">
        <v>285</v>
      </c>
    </row>
    <row r="358" spans="1:28" x14ac:dyDescent="0.35">
      <c r="A358" t="s">
        <v>146</v>
      </c>
      <c r="B358" t="s">
        <v>19</v>
      </c>
      <c r="C358" t="s">
        <v>20</v>
      </c>
      <c r="D358" t="s">
        <v>11</v>
      </c>
      <c r="E358" t="s">
        <v>14</v>
      </c>
      <c r="F358" t="s">
        <v>15</v>
      </c>
      <c r="G358" t="s">
        <v>15</v>
      </c>
      <c r="H358" t="s">
        <v>15</v>
      </c>
      <c r="I358" t="s">
        <v>242</v>
      </c>
      <c r="J358">
        <f t="shared" si="65"/>
        <v>11.5</v>
      </c>
      <c r="K358" t="s">
        <v>131</v>
      </c>
      <c r="L358" t="s">
        <v>16</v>
      </c>
      <c r="M358" t="str">
        <f t="shared" si="64"/>
        <v>Control</v>
      </c>
      <c r="R358" t="s">
        <v>194</v>
      </c>
      <c r="S358" t="s">
        <v>29</v>
      </c>
      <c r="T358" t="s">
        <v>26</v>
      </c>
      <c r="U358" t="s">
        <v>212</v>
      </c>
      <c r="W358" s="1">
        <v>1.3999999999999999E-9</v>
      </c>
      <c r="Z358" s="5">
        <f t="shared" si="66"/>
        <v>1</v>
      </c>
      <c r="AA358" t="s">
        <v>21</v>
      </c>
      <c r="AB358" t="s">
        <v>285</v>
      </c>
    </row>
    <row r="359" spans="1:28" x14ac:dyDescent="0.35">
      <c r="A359" t="s">
        <v>146</v>
      </c>
      <c r="B359" t="s">
        <v>19</v>
      </c>
      <c r="C359" t="s">
        <v>20</v>
      </c>
      <c r="D359" t="s">
        <v>11</v>
      </c>
      <c r="E359" t="s">
        <v>14</v>
      </c>
      <c r="F359" t="s">
        <v>15</v>
      </c>
      <c r="G359" t="s">
        <v>15</v>
      </c>
      <c r="H359" t="s">
        <v>15</v>
      </c>
      <c r="I359" t="s">
        <v>242</v>
      </c>
      <c r="J359">
        <f t="shared" si="65"/>
        <v>11.5</v>
      </c>
      <c r="K359" t="s">
        <v>131</v>
      </c>
      <c r="L359" t="s">
        <v>16</v>
      </c>
      <c r="M359" t="str">
        <f t="shared" si="64"/>
        <v>Control</v>
      </c>
      <c r="R359" t="s">
        <v>193</v>
      </c>
      <c r="S359" t="s">
        <v>29</v>
      </c>
      <c r="T359" t="s">
        <v>26</v>
      </c>
      <c r="U359" t="s">
        <v>212</v>
      </c>
      <c r="W359" s="1">
        <v>7.0999999999999999E-9</v>
      </c>
      <c r="Z359" s="5">
        <f t="shared" si="66"/>
        <v>1</v>
      </c>
      <c r="AA359" t="s">
        <v>21</v>
      </c>
      <c r="AB359" t="s">
        <v>285</v>
      </c>
    </row>
    <row r="360" spans="1:28" x14ac:dyDescent="0.35">
      <c r="A360" t="s">
        <v>146</v>
      </c>
      <c r="B360" t="s">
        <v>19</v>
      </c>
      <c r="C360" t="s">
        <v>20</v>
      </c>
      <c r="D360" t="s">
        <v>11</v>
      </c>
      <c r="E360" t="s">
        <v>14</v>
      </c>
      <c r="F360" t="s">
        <v>15</v>
      </c>
      <c r="G360" t="s">
        <v>15</v>
      </c>
      <c r="H360" t="s">
        <v>15</v>
      </c>
      <c r="I360" t="s">
        <v>242</v>
      </c>
      <c r="J360">
        <f t="shared" si="65"/>
        <v>11.5</v>
      </c>
      <c r="K360" t="s">
        <v>131</v>
      </c>
      <c r="L360" t="s">
        <v>16</v>
      </c>
      <c r="M360" t="str">
        <f t="shared" si="64"/>
        <v>Control</v>
      </c>
      <c r="R360" t="s">
        <v>195</v>
      </c>
      <c r="S360" t="s">
        <v>29</v>
      </c>
      <c r="T360" t="s">
        <v>26</v>
      </c>
      <c r="U360" t="s">
        <v>212</v>
      </c>
      <c r="W360" s="1">
        <v>1.6000000000000001E-8</v>
      </c>
      <c r="Z360" s="5">
        <f t="shared" si="66"/>
        <v>1</v>
      </c>
      <c r="AA360" t="s">
        <v>21</v>
      </c>
      <c r="AB360" t="s">
        <v>285</v>
      </c>
    </row>
    <row r="361" spans="1:28" x14ac:dyDescent="0.35">
      <c r="A361" t="s">
        <v>146</v>
      </c>
      <c r="B361" t="s">
        <v>19</v>
      </c>
      <c r="C361" t="s">
        <v>20</v>
      </c>
      <c r="D361" t="s">
        <v>11</v>
      </c>
      <c r="E361" t="s">
        <v>14</v>
      </c>
      <c r="F361" t="s">
        <v>15</v>
      </c>
      <c r="G361" t="s">
        <v>15</v>
      </c>
      <c r="H361" t="s">
        <v>15</v>
      </c>
      <c r="I361" t="s">
        <v>242</v>
      </c>
      <c r="J361">
        <f t="shared" si="65"/>
        <v>11.5</v>
      </c>
      <c r="K361" t="s">
        <v>131</v>
      </c>
      <c r="L361" t="s">
        <v>131</v>
      </c>
      <c r="M361" t="str">
        <f t="shared" si="64"/>
        <v>Stress</v>
      </c>
      <c r="R361" t="s">
        <v>194</v>
      </c>
      <c r="S361" t="s">
        <v>29</v>
      </c>
      <c r="T361" t="s">
        <v>26</v>
      </c>
      <c r="U361" t="s">
        <v>212</v>
      </c>
      <c r="W361" s="1">
        <v>8.0000000000000013E-10</v>
      </c>
      <c r="Z361" s="5">
        <f t="shared" si="66"/>
        <v>1</v>
      </c>
      <c r="AA361" t="s">
        <v>21</v>
      </c>
      <c r="AB361" t="s">
        <v>285</v>
      </c>
    </row>
    <row r="362" spans="1:28" x14ac:dyDescent="0.35">
      <c r="A362" t="s">
        <v>146</v>
      </c>
      <c r="B362" t="s">
        <v>19</v>
      </c>
      <c r="C362" t="s">
        <v>20</v>
      </c>
      <c r="D362" t="s">
        <v>11</v>
      </c>
      <c r="E362" t="s">
        <v>14</v>
      </c>
      <c r="F362" t="s">
        <v>15</v>
      </c>
      <c r="G362" t="s">
        <v>15</v>
      </c>
      <c r="H362" t="s">
        <v>15</v>
      </c>
      <c r="I362" t="s">
        <v>242</v>
      </c>
      <c r="J362">
        <f t="shared" si="65"/>
        <v>11.5</v>
      </c>
      <c r="K362" t="s">
        <v>131</v>
      </c>
      <c r="L362" t="s">
        <v>131</v>
      </c>
      <c r="M362" t="str">
        <f t="shared" si="64"/>
        <v>Stress</v>
      </c>
      <c r="R362" t="s">
        <v>193</v>
      </c>
      <c r="S362" t="s">
        <v>29</v>
      </c>
      <c r="T362" t="s">
        <v>26</v>
      </c>
      <c r="U362" t="s">
        <v>212</v>
      </c>
      <c r="W362" s="1">
        <v>8.199999999999999E-9</v>
      </c>
      <c r="Z362" s="5">
        <f t="shared" si="66"/>
        <v>1</v>
      </c>
      <c r="AA362" t="s">
        <v>21</v>
      </c>
      <c r="AB362" t="s">
        <v>285</v>
      </c>
    </row>
    <row r="363" spans="1:28" x14ac:dyDescent="0.35">
      <c r="A363" t="s">
        <v>146</v>
      </c>
      <c r="B363" t="s">
        <v>19</v>
      </c>
      <c r="C363" t="s">
        <v>20</v>
      </c>
      <c r="D363" t="s">
        <v>11</v>
      </c>
      <c r="E363" t="s">
        <v>14</v>
      </c>
      <c r="F363" t="s">
        <v>15</v>
      </c>
      <c r="G363" t="s">
        <v>15</v>
      </c>
      <c r="H363" t="s">
        <v>15</v>
      </c>
      <c r="I363" t="s">
        <v>242</v>
      </c>
      <c r="J363">
        <f t="shared" si="65"/>
        <v>11.5</v>
      </c>
      <c r="K363" t="s">
        <v>131</v>
      </c>
      <c r="L363" t="s">
        <v>131</v>
      </c>
      <c r="M363" t="str">
        <f t="shared" si="64"/>
        <v>Stress</v>
      </c>
      <c r="R363" t="s">
        <v>195</v>
      </c>
      <c r="S363" t="s">
        <v>29</v>
      </c>
      <c r="T363" t="s">
        <v>26</v>
      </c>
      <c r="U363" t="s">
        <v>212</v>
      </c>
      <c r="W363" s="1">
        <v>1E-8</v>
      </c>
      <c r="Z363" s="5">
        <f t="shared" si="66"/>
        <v>1</v>
      </c>
      <c r="AA363" t="s">
        <v>21</v>
      </c>
      <c r="AB363" t="s">
        <v>285</v>
      </c>
    </row>
    <row r="364" spans="1:28" x14ac:dyDescent="0.35">
      <c r="A364" t="s">
        <v>146</v>
      </c>
      <c r="B364" t="s">
        <v>19</v>
      </c>
      <c r="C364" t="s">
        <v>20</v>
      </c>
      <c r="D364" t="s">
        <v>11</v>
      </c>
      <c r="E364" t="s">
        <v>14</v>
      </c>
      <c r="F364" t="s">
        <v>15</v>
      </c>
      <c r="G364" t="s">
        <v>15</v>
      </c>
      <c r="H364" t="s">
        <v>15</v>
      </c>
      <c r="I364" t="s">
        <v>242</v>
      </c>
      <c r="J364">
        <f t="shared" si="65"/>
        <v>11.5</v>
      </c>
      <c r="K364" t="s">
        <v>131</v>
      </c>
      <c r="L364" t="s">
        <v>16</v>
      </c>
      <c r="M364" t="str">
        <f t="shared" si="64"/>
        <v>Control</v>
      </c>
      <c r="R364" t="s">
        <v>194</v>
      </c>
      <c r="S364" t="s">
        <v>29</v>
      </c>
      <c r="T364" t="s">
        <v>26</v>
      </c>
      <c r="U364" t="s">
        <v>212</v>
      </c>
      <c r="W364" s="1">
        <v>1.7000000000000001E-9</v>
      </c>
      <c r="Z364" s="5">
        <f t="shared" si="66"/>
        <v>1</v>
      </c>
      <c r="AA364" t="s">
        <v>21</v>
      </c>
      <c r="AB364" t="s">
        <v>285</v>
      </c>
    </row>
    <row r="365" spans="1:28" x14ac:dyDescent="0.35">
      <c r="A365" t="s">
        <v>146</v>
      </c>
      <c r="B365" t="s">
        <v>19</v>
      </c>
      <c r="C365" t="s">
        <v>20</v>
      </c>
      <c r="D365" t="s">
        <v>11</v>
      </c>
      <c r="E365" t="s">
        <v>14</v>
      </c>
      <c r="F365" t="s">
        <v>15</v>
      </c>
      <c r="G365" t="s">
        <v>15</v>
      </c>
      <c r="H365" t="s">
        <v>15</v>
      </c>
      <c r="I365" t="s">
        <v>242</v>
      </c>
      <c r="J365">
        <f t="shared" si="65"/>
        <v>11.5</v>
      </c>
      <c r="K365" t="s">
        <v>131</v>
      </c>
      <c r="L365" t="s">
        <v>16</v>
      </c>
      <c r="M365" t="str">
        <f t="shared" si="64"/>
        <v>Control</v>
      </c>
      <c r="R365" t="s">
        <v>193</v>
      </c>
      <c r="S365" t="s">
        <v>29</v>
      </c>
      <c r="T365" t="s">
        <v>26</v>
      </c>
      <c r="U365" t="s">
        <v>212</v>
      </c>
      <c r="W365" s="1">
        <v>9.4000000000000015E-9</v>
      </c>
      <c r="Z365" s="5">
        <f t="shared" si="66"/>
        <v>1</v>
      </c>
      <c r="AA365" t="s">
        <v>21</v>
      </c>
      <c r="AB365" t="s">
        <v>285</v>
      </c>
    </row>
    <row r="366" spans="1:28" x14ac:dyDescent="0.35">
      <c r="A366" t="s">
        <v>146</v>
      </c>
      <c r="B366" t="s">
        <v>19</v>
      </c>
      <c r="C366" t="s">
        <v>20</v>
      </c>
      <c r="D366" t="s">
        <v>11</v>
      </c>
      <c r="E366" t="s">
        <v>14</v>
      </c>
      <c r="F366" t="s">
        <v>15</v>
      </c>
      <c r="G366" t="s">
        <v>15</v>
      </c>
      <c r="H366" t="s">
        <v>15</v>
      </c>
      <c r="I366" t="s">
        <v>242</v>
      </c>
      <c r="J366">
        <f t="shared" si="65"/>
        <v>11.5</v>
      </c>
      <c r="K366" t="s">
        <v>131</v>
      </c>
      <c r="L366" t="s">
        <v>16</v>
      </c>
      <c r="M366" t="str">
        <f t="shared" si="64"/>
        <v>Control</v>
      </c>
      <c r="R366" t="s">
        <v>195</v>
      </c>
      <c r="S366" t="s">
        <v>29</v>
      </c>
      <c r="T366" t="s">
        <v>26</v>
      </c>
      <c r="U366" t="s">
        <v>212</v>
      </c>
      <c r="W366" s="1">
        <v>1.9000000000000001E-8</v>
      </c>
      <c r="Z366" s="5">
        <f t="shared" si="66"/>
        <v>1</v>
      </c>
      <c r="AA366" t="s">
        <v>21</v>
      </c>
      <c r="AB366" t="s">
        <v>285</v>
      </c>
    </row>
    <row r="367" spans="1:28" x14ac:dyDescent="0.35">
      <c r="A367" t="s">
        <v>146</v>
      </c>
      <c r="B367" t="s">
        <v>19</v>
      </c>
      <c r="C367" t="s">
        <v>20</v>
      </c>
      <c r="D367" t="s">
        <v>11</v>
      </c>
      <c r="E367" t="s">
        <v>14</v>
      </c>
      <c r="F367" t="s">
        <v>15</v>
      </c>
      <c r="G367" t="s">
        <v>15</v>
      </c>
      <c r="H367" t="s">
        <v>15</v>
      </c>
      <c r="I367" t="s">
        <v>242</v>
      </c>
      <c r="J367">
        <f t="shared" si="65"/>
        <v>11.5</v>
      </c>
      <c r="K367" t="s">
        <v>131</v>
      </c>
      <c r="L367" t="s">
        <v>131</v>
      </c>
      <c r="M367" t="str">
        <f t="shared" si="64"/>
        <v>Stress</v>
      </c>
      <c r="R367" t="s">
        <v>194</v>
      </c>
      <c r="S367" t="s">
        <v>29</v>
      </c>
      <c r="T367" t="s">
        <v>26</v>
      </c>
      <c r="U367" t="s">
        <v>212</v>
      </c>
      <c r="W367" s="1">
        <v>6E-10</v>
      </c>
      <c r="Z367" s="5">
        <f t="shared" si="66"/>
        <v>1</v>
      </c>
      <c r="AA367" t="s">
        <v>21</v>
      </c>
      <c r="AB367" t="s">
        <v>285</v>
      </c>
    </row>
    <row r="368" spans="1:28" x14ac:dyDescent="0.35">
      <c r="A368" t="s">
        <v>146</v>
      </c>
      <c r="B368" t="s">
        <v>19</v>
      </c>
      <c r="C368" t="s">
        <v>20</v>
      </c>
      <c r="D368" t="s">
        <v>11</v>
      </c>
      <c r="E368" t="s">
        <v>14</v>
      </c>
      <c r="F368" t="s">
        <v>15</v>
      </c>
      <c r="G368" t="s">
        <v>15</v>
      </c>
      <c r="H368" t="s">
        <v>15</v>
      </c>
      <c r="I368" t="s">
        <v>242</v>
      </c>
      <c r="J368">
        <f t="shared" si="65"/>
        <v>11.5</v>
      </c>
      <c r="K368" t="s">
        <v>131</v>
      </c>
      <c r="L368" t="s">
        <v>131</v>
      </c>
      <c r="M368" t="str">
        <f t="shared" si="64"/>
        <v>Stress</v>
      </c>
      <c r="R368" t="s">
        <v>193</v>
      </c>
      <c r="S368" t="s">
        <v>29</v>
      </c>
      <c r="T368" t="s">
        <v>26</v>
      </c>
      <c r="U368" t="s">
        <v>212</v>
      </c>
      <c r="W368" s="1">
        <v>6.2000000000000009E-9</v>
      </c>
      <c r="Z368" s="5">
        <f t="shared" si="66"/>
        <v>1</v>
      </c>
      <c r="AA368" t="s">
        <v>21</v>
      </c>
      <c r="AB368" t="s">
        <v>285</v>
      </c>
    </row>
    <row r="369" spans="1:28" x14ac:dyDescent="0.35">
      <c r="A369" t="s">
        <v>146</v>
      </c>
      <c r="B369" t="s">
        <v>19</v>
      </c>
      <c r="C369" t="s">
        <v>20</v>
      </c>
      <c r="D369" t="s">
        <v>11</v>
      </c>
      <c r="E369" t="s">
        <v>14</v>
      </c>
      <c r="F369" t="s">
        <v>15</v>
      </c>
      <c r="G369" t="s">
        <v>15</v>
      </c>
      <c r="H369" t="s">
        <v>15</v>
      </c>
      <c r="I369" t="s">
        <v>242</v>
      </c>
      <c r="J369">
        <f t="shared" si="65"/>
        <v>11.5</v>
      </c>
      <c r="K369" t="s">
        <v>131</v>
      </c>
      <c r="L369" t="s">
        <v>131</v>
      </c>
      <c r="M369" t="str">
        <f t="shared" si="64"/>
        <v>Stress</v>
      </c>
      <c r="R369" t="s">
        <v>195</v>
      </c>
      <c r="S369" t="s">
        <v>29</v>
      </c>
      <c r="T369" t="s">
        <v>26</v>
      </c>
      <c r="U369" t="s">
        <v>212</v>
      </c>
      <c r="W369" s="1">
        <v>1.4000000000000001E-8</v>
      </c>
      <c r="Z369" s="5">
        <f t="shared" si="66"/>
        <v>1</v>
      </c>
      <c r="AA369" t="s">
        <v>21</v>
      </c>
      <c r="AB369" t="s">
        <v>285</v>
      </c>
    </row>
    <row r="370" spans="1:28" x14ac:dyDescent="0.35">
      <c r="A370" t="s">
        <v>147</v>
      </c>
      <c r="B370" t="s">
        <v>105</v>
      </c>
      <c r="C370" t="s">
        <v>106</v>
      </c>
      <c r="D370" t="s">
        <v>107</v>
      </c>
      <c r="E370" t="s">
        <v>108</v>
      </c>
      <c r="F370" t="s">
        <v>109</v>
      </c>
      <c r="G370" t="s">
        <v>109</v>
      </c>
      <c r="H370" t="s">
        <v>109</v>
      </c>
      <c r="I370" t="s">
        <v>109</v>
      </c>
      <c r="J370">
        <f>'[38]Huang&amp;Nobel_1992_Fig2'!A2</f>
        <v>6</v>
      </c>
      <c r="K370" t="s">
        <v>281</v>
      </c>
      <c r="L370" t="s">
        <v>281</v>
      </c>
      <c r="M370" t="s">
        <v>281</v>
      </c>
      <c r="R370" t="s">
        <v>193</v>
      </c>
      <c r="S370" t="s">
        <v>148</v>
      </c>
      <c r="T370" t="s">
        <v>26</v>
      </c>
      <c r="U370" t="s">
        <v>211</v>
      </c>
      <c r="W370" s="1">
        <f>'[38]Huang&amp;Nobel_1992_Fig2'!B2</f>
        <v>4.7055837563451702E-7</v>
      </c>
      <c r="Z370">
        <v>1.1000000000000001</v>
      </c>
      <c r="AA370" t="s">
        <v>51</v>
      </c>
      <c r="AB370" t="s">
        <v>285</v>
      </c>
    </row>
    <row r="371" spans="1:28" x14ac:dyDescent="0.35">
      <c r="A371" t="s">
        <v>147</v>
      </c>
      <c r="B371" t="s">
        <v>105</v>
      </c>
      <c r="C371" t="s">
        <v>106</v>
      </c>
      <c r="D371" t="s">
        <v>107</v>
      </c>
      <c r="E371" t="s">
        <v>108</v>
      </c>
      <c r="F371" t="s">
        <v>109</v>
      </c>
      <c r="G371" t="s">
        <v>109</v>
      </c>
      <c r="H371" t="s">
        <v>109</v>
      </c>
      <c r="I371" t="s">
        <v>109</v>
      </c>
      <c r="J371">
        <f>'[38]Huang&amp;Nobel_1992_Fig2'!A3</f>
        <v>12</v>
      </c>
      <c r="K371" t="s">
        <v>281</v>
      </c>
      <c r="L371" t="s">
        <v>281</v>
      </c>
      <c r="M371" t="s">
        <v>281</v>
      </c>
      <c r="R371" t="s">
        <v>193</v>
      </c>
      <c r="S371" t="s">
        <v>148</v>
      </c>
      <c r="T371" t="s">
        <v>110</v>
      </c>
      <c r="U371" t="s">
        <v>211</v>
      </c>
      <c r="W371" s="1">
        <f>'[38]Huang&amp;Nobel_1992_Fig2'!B3</f>
        <v>3.8756345177664899E-7</v>
      </c>
      <c r="Z371" s="2">
        <v>1.1000000000000001</v>
      </c>
      <c r="AA371" t="s">
        <v>51</v>
      </c>
      <c r="AB371" t="s">
        <v>285</v>
      </c>
    </row>
    <row r="372" spans="1:28" x14ac:dyDescent="0.35">
      <c r="A372" t="s">
        <v>147</v>
      </c>
      <c r="B372" t="s">
        <v>105</v>
      </c>
      <c r="C372" t="s">
        <v>106</v>
      </c>
      <c r="D372" t="s">
        <v>107</v>
      </c>
      <c r="E372" t="s">
        <v>108</v>
      </c>
      <c r="F372" t="s">
        <v>109</v>
      </c>
      <c r="G372" t="s">
        <v>109</v>
      </c>
      <c r="H372" t="s">
        <v>109</v>
      </c>
      <c r="I372" t="s">
        <v>109</v>
      </c>
      <c r="J372">
        <f>'[38]Huang&amp;Nobel_1992_Fig2'!A4</f>
        <v>18</v>
      </c>
      <c r="K372" t="s">
        <v>281</v>
      </c>
      <c r="L372" t="s">
        <v>281</v>
      </c>
      <c r="M372" t="s">
        <v>281</v>
      </c>
      <c r="R372" t="s">
        <v>193</v>
      </c>
      <c r="S372" t="s">
        <v>148</v>
      </c>
      <c r="T372" t="s">
        <v>70</v>
      </c>
      <c r="U372" t="s">
        <v>211</v>
      </c>
      <c r="W372" s="1">
        <f>'[38]Huang&amp;Nobel_1992_Fig2'!B4</f>
        <v>2.4670050761421302E-7</v>
      </c>
      <c r="Z372" s="2">
        <v>1.1000000000000001</v>
      </c>
      <c r="AA372" t="s">
        <v>51</v>
      </c>
      <c r="AB372" t="s">
        <v>285</v>
      </c>
    </row>
    <row r="373" spans="1:28" x14ac:dyDescent="0.35">
      <c r="A373" t="s">
        <v>147</v>
      </c>
      <c r="B373" t="s">
        <v>105</v>
      </c>
      <c r="C373" t="s">
        <v>106</v>
      </c>
      <c r="D373" t="s">
        <v>107</v>
      </c>
      <c r="E373" t="s">
        <v>108</v>
      </c>
      <c r="F373" t="s">
        <v>109</v>
      </c>
      <c r="G373" t="s">
        <v>109</v>
      </c>
      <c r="H373" t="s">
        <v>109</v>
      </c>
      <c r="I373" t="s">
        <v>109</v>
      </c>
      <c r="J373">
        <f>'[38]Huang&amp;Nobel_1992_Fig2'!A5</f>
        <v>24</v>
      </c>
      <c r="K373" t="s">
        <v>281</v>
      </c>
      <c r="L373" t="s">
        <v>281</v>
      </c>
      <c r="M373" t="s">
        <v>281</v>
      </c>
      <c r="R373" t="s">
        <v>193</v>
      </c>
      <c r="S373" t="s">
        <v>148</v>
      </c>
      <c r="T373" t="s">
        <v>70</v>
      </c>
      <c r="U373" t="s">
        <v>211</v>
      </c>
      <c r="W373" s="1">
        <f>'[38]Huang&amp;Nobel_1992_Fig2'!B5</f>
        <v>2.0482233502538E-7</v>
      </c>
      <c r="Z373" s="2">
        <v>1.1000000000000001</v>
      </c>
      <c r="AA373" t="s">
        <v>51</v>
      </c>
      <c r="AB373" t="s">
        <v>285</v>
      </c>
    </row>
    <row r="374" spans="1:28" x14ac:dyDescent="0.35">
      <c r="A374" t="s">
        <v>147</v>
      </c>
      <c r="B374" t="s">
        <v>105</v>
      </c>
      <c r="C374" t="s">
        <v>106</v>
      </c>
      <c r="D374" t="s">
        <v>107</v>
      </c>
      <c r="E374" t="s">
        <v>108</v>
      </c>
      <c r="F374" t="s">
        <v>109</v>
      </c>
      <c r="G374" t="s">
        <v>109</v>
      </c>
      <c r="H374" t="s">
        <v>109</v>
      </c>
      <c r="I374" t="s">
        <v>109</v>
      </c>
      <c r="J374">
        <f>'[38]Huang&amp;Nobel_1992_Fig2'!A6</f>
        <v>30</v>
      </c>
      <c r="K374" t="s">
        <v>281</v>
      </c>
      <c r="L374" t="s">
        <v>281</v>
      </c>
      <c r="M374" t="s">
        <v>281</v>
      </c>
      <c r="R374" t="s">
        <v>193</v>
      </c>
      <c r="S374" t="s">
        <v>148</v>
      </c>
      <c r="T374" t="s">
        <v>70</v>
      </c>
      <c r="U374" t="s">
        <v>211</v>
      </c>
      <c r="W374" s="1">
        <f>'[38]Huang&amp;Nobel_1992_Fig2'!B6</f>
        <v>1.6370558375634499E-7</v>
      </c>
      <c r="Z374" s="2">
        <v>1.1000000000000001</v>
      </c>
      <c r="AA374" t="s">
        <v>51</v>
      </c>
      <c r="AB374" t="s">
        <v>285</v>
      </c>
    </row>
    <row r="375" spans="1:28" x14ac:dyDescent="0.35">
      <c r="A375" t="s">
        <v>147</v>
      </c>
      <c r="B375" t="s">
        <v>105</v>
      </c>
      <c r="C375" t="s">
        <v>106</v>
      </c>
      <c r="D375" t="s">
        <v>107</v>
      </c>
      <c r="E375" t="s">
        <v>108</v>
      </c>
      <c r="F375" t="s">
        <v>109</v>
      </c>
      <c r="G375" t="s">
        <v>109</v>
      </c>
      <c r="H375" t="s">
        <v>109</v>
      </c>
      <c r="I375" t="s">
        <v>109</v>
      </c>
      <c r="J375">
        <v>48</v>
      </c>
      <c r="K375" t="s">
        <v>113</v>
      </c>
      <c r="L375" t="s">
        <v>16</v>
      </c>
      <c r="M375" t="str">
        <f t="shared" ref="M375:M388" si="67">+IF(L375="Control","Control","Stress")</f>
        <v>Control</v>
      </c>
      <c r="R375" t="s">
        <v>193</v>
      </c>
      <c r="S375" t="s">
        <v>148</v>
      </c>
      <c r="T375" t="s">
        <v>26</v>
      </c>
      <c r="U375" t="s">
        <v>211</v>
      </c>
      <c r="W375" s="1">
        <f>'[39]Huang&amp;Nobel_1992_Fig3'!$D$2</f>
        <v>5.6241263762565803E-7</v>
      </c>
      <c r="Z375" s="2">
        <v>1.1000000000000001</v>
      </c>
      <c r="AA375" t="s">
        <v>51</v>
      </c>
      <c r="AB375" t="s">
        <v>285</v>
      </c>
    </row>
    <row r="376" spans="1:28" x14ac:dyDescent="0.35">
      <c r="A376" t="s">
        <v>147</v>
      </c>
      <c r="B376" t="s">
        <v>105</v>
      </c>
      <c r="C376" t="s">
        <v>106</v>
      </c>
      <c r="D376" t="s">
        <v>107</v>
      </c>
      <c r="E376" t="s">
        <v>108</v>
      </c>
      <c r="F376" t="s">
        <v>109</v>
      </c>
      <c r="G376" t="s">
        <v>109</v>
      </c>
      <c r="H376" t="s">
        <v>109</v>
      </c>
      <c r="I376" t="s">
        <v>109</v>
      </c>
      <c r="J376">
        <v>48</v>
      </c>
      <c r="K376" t="s">
        <v>113</v>
      </c>
      <c r="L376" t="s">
        <v>16</v>
      </c>
      <c r="M376" t="str">
        <f t="shared" si="67"/>
        <v>Control</v>
      </c>
      <c r="R376" t="s">
        <v>193</v>
      </c>
      <c r="S376" t="s">
        <v>148</v>
      </c>
      <c r="T376" t="s">
        <v>110</v>
      </c>
      <c r="U376" t="s">
        <v>211</v>
      </c>
      <c r="W376" s="1">
        <f>'[39]Huang&amp;Nobel_1992_Fig3'!D5</f>
        <v>3.6889385316383837E-7</v>
      </c>
      <c r="Z376" s="2">
        <v>1.1000000000000001</v>
      </c>
      <c r="AA376" t="s">
        <v>51</v>
      </c>
      <c r="AB376" t="s">
        <v>285</v>
      </c>
    </row>
    <row r="377" spans="1:28" x14ac:dyDescent="0.35">
      <c r="A377" t="s">
        <v>147</v>
      </c>
      <c r="B377" t="s">
        <v>105</v>
      </c>
      <c r="C377" t="s">
        <v>106</v>
      </c>
      <c r="D377" t="s">
        <v>107</v>
      </c>
      <c r="E377" t="s">
        <v>108</v>
      </c>
      <c r="F377" t="s">
        <v>109</v>
      </c>
      <c r="G377" t="s">
        <v>109</v>
      </c>
      <c r="H377" t="s">
        <v>109</v>
      </c>
      <c r="I377" t="s">
        <v>109</v>
      </c>
      <c r="J377">
        <v>48</v>
      </c>
      <c r="K377" t="s">
        <v>113</v>
      </c>
      <c r="L377" t="s">
        <v>16</v>
      </c>
      <c r="M377" t="str">
        <f t="shared" si="67"/>
        <v>Control</v>
      </c>
      <c r="R377" t="s">
        <v>193</v>
      </c>
      <c r="S377" t="s">
        <v>148</v>
      </c>
      <c r="T377" t="s">
        <v>70</v>
      </c>
      <c r="U377" t="s">
        <v>211</v>
      </c>
      <c r="W377" s="1">
        <f>'[39]Huang&amp;Nobel_1992_Fig3'!D6</f>
        <v>1.7014839636189499E-7</v>
      </c>
      <c r="Z377" s="2">
        <v>1.1000000000000001</v>
      </c>
      <c r="AA377" t="s">
        <v>51</v>
      </c>
      <c r="AB377" t="s">
        <v>285</v>
      </c>
    </row>
    <row r="378" spans="1:28" x14ac:dyDescent="0.35">
      <c r="A378" t="s">
        <v>147</v>
      </c>
      <c r="B378" t="s">
        <v>105</v>
      </c>
      <c r="C378" t="s">
        <v>106</v>
      </c>
      <c r="D378" t="s">
        <v>107</v>
      </c>
      <c r="E378" t="s">
        <v>108</v>
      </c>
      <c r="F378" t="s">
        <v>109</v>
      </c>
      <c r="G378" t="s">
        <v>109</v>
      </c>
      <c r="H378" t="s">
        <v>109</v>
      </c>
      <c r="I378" t="s">
        <v>109</v>
      </c>
      <c r="J378">
        <v>48</v>
      </c>
      <c r="K378" t="s">
        <v>113</v>
      </c>
      <c r="L378" t="s">
        <v>113</v>
      </c>
      <c r="M378" t="str">
        <f t="shared" si="67"/>
        <v>Stress</v>
      </c>
      <c r="R378" t="s">
        <v>193</v>
      </c>
      <c r="S378" t="s">
        <v>148</v>
      </c>
      <c r="T378" t="s">
        <v>26</v>
      </c>
      <c r="U378" t="s">
        <v>211</v>
      </c>
      <c r="W378" s="1">
        <f>'[40]Huang&amp;Nobel_1992_Fig6'!$C$3</f>
        <v>3.167002526948785E-7</v>
      </c>
      <c r="Z378" s="2">
        <v>1.1000000000000001</v>
      </c>
      <c r="AA378" t="s">
        <v>51</v>
      </c>
      <c r="AB378" t="s">
        <v>285</v>
      </c>
    </row>
    <row r="379" spans="1:28" x14ac:dyDescent="0.35">
      <c r="A379" t="s">
        <v>147</v>
      </c>
      <c r="B379" t="s">
        <v>105</v>
      </c>
      <c r="C379" t="s">
        <v>106</v>
      </c>
      <c r="D379" t="s">
        <v>107</v>
      </c>
      <c r="E379" t="s">
        <v>108</v>
      </c>
      <c r="F379" t="s">
        <v>109</v>
      </c>
      <c r="G379" t="s">
        <v>109</v>
      </c>
      <c r="H379" t="s">
        <v>109</v>
      </c>
      <c r="I379" t="s">
        <v>109</v>
      </c>
      <c r="J379">
        <v>48</v>
      </c>
      <c r="K379" t="s">
        <v>113</v>
      </c>
      <c r="L379" t="s">
        <v>113</v>
      </c>
      <c r="M379" t="str">
        <f t="shared" si="67"/>
        <v>Stress</v>
      </c>
      <c r="R379" t="s">
        <v>193</v>
      </c>
      <c r="S379" t="s">
        <v>148</v>
      </c>
      <c r="T379" t="s">
        <v>110</v>
      </c>
      <c r="U379" t="s">
        <v>211</v>
      </c>
      <c r="W379" s="1">
        <f>'[40]Huang&amp;Nobel_1992_Fig6'!$C$5</f>
        <v>2.5720500271886796E-7</v>
      </c>
      <c r="Z379" s="2">
        <v>1.1000000000000001</v>
      </c>
      <c r="AA379" t="s">
        <v>51</v>
      </c>
      <c r="AB379" t="s">
        <v>285</v>
      </c>
    </row>
    <row r="380" spans="1:28" x14ac:dyDescent="0.35">
      <c r="A380" t="s">
        <v>147</v>
      </c>
      <c r="B380" t="s">
        <v>105</v>
      </c>
      <c r="C380" t="s">
        <v>106</v>
      </c>
      <c r="D380" t="s">
        <v>107</v>
      </c>
      <c r="E380" t="s">
        <v>108</v>
      </c>
      <c r="F380" t="s">
        <v>109</v>
      </c>
      <c r="G380" t="s">
        <v>109</v>
      </c>
      <c r="H380" t="s">
        <v>109</v>
      </c>
      <c r="I380" t="s">
        <v>109</v>
      </c>
      <c r="J380">
        <v>48</v>
      </c>
      <c r="K380" t="s">
        <v>113</v>
      </c>
      <c r="L380" t="s">
        <v>113</v>
      </c>
      <c r="M380" t="str">
        <f t="shared" si="67"/>
        <v>Stress</v>
      </c>
      <c r="R380" t="s">
        <v>193</v>
      </c>
      <c r="S380" t="s">
        <v>148</v>
      </c>
      <c r="T380" t="s">
        <v>70</v>
      </c>
      <c r="U380" t="s">
        <v>211</v>
      </c>
      <c r="W380" s="1">
        <f>'[40]Huang&amp;Nobel_1992_Fig6'!$C$7</f>
        <v>1.95369583396163E-7</v>
      </c>
      <c r="Z380" s="2">
        <v>1.1000000000000001</v>
      </c>
      <c r="AA380" t="s">
        <v>51</v>
      </c>
      <c r="AB380" t="s">
        <v>285</v>
      </c>
    </row>
    <row r="381" spans="1:28" x14ac:dyDescent="0.35">
      <c r="A381" t="s">
        <v>147</v>
      </c>
      <c r="B381" t="s">
        <v>105</v>
      </c>
      <c r="C381" t="s">
        <v>106</v>
      </c>
      <c r="D381" t="s">
        <v>107</v>
      </c>
      <c r="E381" t="s">
        <v>108</v>
      </c>
      <c r="F381" t="s">
        <v>109</v>
      </c>
      <c r="G381" t="s">
        <v>109</v>
      </c>
      <c r="H381" t="s">
        <v>109</v>
      </c>
      <c r="I381" t="s">
        <v>109</v>
      </c>
      <c r="J381">
        <v>48</v>
      </c>
      <c r="K381" t="s">
        <v>113</v>
      </c>
      <c r="L381" t="s">
        <v>16</v>
      </c>
      <c r="M381" t="str">
        <f t="shared" si="67"/>
        <v>Control</v>
      </c>
      <c r="R381" t="s">
        <v>193</v>
      </c>
      <c r="S381" t="s">
        <v>148</v>
      </c>
      <c r="T381" t="s">
        <v>26</v>
      </c>
      <c r="U381" t="s">
        <v>211</v>
      </c>
      <c r="W381" s="1">
        <f>'[39]Huang&amp;Nobel_1992_Fig3'!$D$7</f>
        <v>6.4096590606882595E-7</v>
      </c>
      <c r="Z381" s="2">
        <v>1.1000000000000001</v>
      </c>
      <c r="AA381" t="s">
        <v>51</v>
      </c>
      <c r="AB381" t="s">
        <v>284</v>
      </c>
    </row>
    <row r="382" spans="1:28" x14ac:dyDescent="0.35">
      <c r="A382" t="s">
        <v>147</v>
      </c>
      <c r="B382" t="s">
        <v>105</v>
      </c>
      <c r="C382" t="s">
        <v>106</v>
      </c>
      <c r="D382" t="s">
        <v>107</v>
      </c>
      <c r="E382" t="s">
        <v>108</v>
      </c>
      <c r="F382" t="s">
        <v>109</v>
      </c>
      <c r="G382" t="s">
        <v>109</v>
      </c>
      <c r="H382" t="s">
        <v>109</v>
      </c>
      <c r="I382" t="s">
        <v>109</v>
      </c>
      <c r="J382">
        <v>48</v>
      </c>
      <c r="K382" t="s">
        <v>113</v>
      </c>
      <c r="L382" t="s">
        <v>16</v>
      </c>
      <c r="M382" t="str">
        <f t="shared" si="67"/>
        <v>Control</v>
      </c>
      <c r="R382" t="s">
        <v>193</v>
      </c>
      <c r="S382" t="s">
        <v>148</v>
      </c>
      <c r="T382" t="s">
        <v>110</v>
      </c>
      <c r="U382" t="s">
        <v>211</v>
      </c>
      <c r="W382" s="1">
        <f>'[39]Huang&amp;Nobel_1992_Fig3'!$D$10</f>
        <v>4.2609506586529029E-7</v>
      </c>
      <c r="Z382" s="2">
        <v>1.1000000000000001</v>
      </c>
      <c r="AA382" t="s">
        <v>51</v>
      </c>
      <c r="AB382" t="s">
        <v>284</v>
      </c>
    </row>
    <row r="383" spans="1:28" x14ac:dyDescent="0.35">
      <c r="A383" t="s">
        <v>147</v>
      </c>
      <c r="B383" t="s">
        <v>105</v>
      </c>
      <c r="C383" t="s">
        <v>106</v>
      </c>
      <c r="D383" t="s">
        <v>107</v>
      </c>
      <c r="E383" t="s">
        <v>108</v>
      </c>
      <c r="F383" t="s">
        <v>109</v>
      </c>
      <c r="G383" t="s">
        <v>109</v>
      </c>
      <c r="H383" t="s">
        <v>109</v>
      </c>
      <c r="I383" t="s">
        <v>109</v>
      </c>
      <c r="J383">
        <v>48</v>
      </c>
      <c r="K383" t="s">
        <v>113</v>
      </c>
      <c r="L383" t="s">
        <v>16</v>
      </c>
      <c r="M383" t="str">
        <f t="shared" si="67"/>
        <v>Control</v>
      </c>
      <c r="R383" t="s">
        <v>193</v>
      </c>
      <c r="S383" t="s">
        <v>148</v>
      </c>
      <c r="T383" t="s">
        <v>70</v>
      </c>
      <c r="U383" t="s">
        <v>211</v>
      </c>
      <c r="W383" s="1">
        <f>'[39]Huang&amp;Nobel_1992_Fig3'!$D$11</f>
        <v>1.7256103398755301E-7</v>
      </c>
      <c r="Z383" s="2">
        <v>1.1000000000000001</v>
      </c>
      <c r="AA383" t="s">
        <v>51</v>
      </c>
      <c r="AB383" t="s">
        <v>284</v>
      </c>
    </row>
    <row r="384" spans="1:28" x14ac:dyDescent="0.35">
      <c r="A384" t="s">
        <v>147</v>
      </c>
      <c r="B384" t="s">
        <v>105</v>
      </c>
      <c r="C384" t="s">
        <v>106</v>
      </c>
      <c r="D384" t="s">
        <v>107</v>
      </c>
      <c r="E384" t="s">
        <v>108</v>
      </c>
      <c r="F384" t="s">
        <v>109</v>
      </c>
      <c r="G384" t="s">
        <v>109</v>
      </c>
      <c r="H384" t="s">
        <v>109</v>
      </c>
      <c r="I384" t="s">
        <v>109</v>
      </c>
      <c r="J384">
        <v>48</v>
      </c>
      <c r="K384" t="s">
        <v>113</v>
      </c>
      <c r="L384" t="s">
        <v>113</v>
      </c>
      <c r="M384" t="str">
        <f t="shared" si="67"/>
        <v>Stress</v>
      </c>
      <c r="R384" t="s">
        <v>193</v>
      </c>
      <c r="S384" t="s">
        <v>148</v>
      </c>
      <c r="T384" t="s">
        <v>26</v>
      </c>
      <c r="U384" t="s">
        <v>211</v>
      </c>
      <c r="W384" s="1">
        <f>'[40]Huang&amp;Nobel_1992_Fig6'!$C$9</f>
        <v>3.7342179938859699E-7</v>
      </c>
      <c r="Z384" s="2">
        <v>1.1000000000000001</v>
      </c>
      <c r="AA384" t="s">
        <v>51</v>
      </c>
      <c r="AB384" t="s">
        <v>284</v>
      </c>
    </row>
    <row r="385" spans="1:28" x14ac:dyDescent="0.35">
      <c r="A385" t="s">
        <v>147</v>
      </c>
      <c r="B385" t="s">
        <v>105</v>
      </c>
      <c r="C385" t="s">
        <v>106</v>
      </c>
      <c r="D385" t="s">
        <v>107</v>
      </c>
      <c r="E385" t="s">
        <v>108</v>
      </c>
      <c r="F385" t="s">
        <v>109</v>
      </c>
      <c r="G385" t="s">
        <v>109</v>
      </c>
      <c r="H385" t="s">
        <v>109</v>
      </c>
      <c r="I385" t="s">
        <v>109</v>
      </c>
      <c r="J385">
        <v>48</v>
      </c>
      <c r="K385" t="s">
        <v>113</v>
      </c>
      <c r="L385" t="s">
        <v>113</v>
      </c>
      <c r="M385" t="str">
        <f t="shared" si="67"/>
        <v>Stress</v>
      </c>
      <c r="R385" t="s">
        <v>193</v>
      </c>
      <c r="S385" t="s">
        <v>148</v>
      </c>
      <c r="T385" t="s">
        <v>110</v>
      </c>
      <c r="U385" t="s">
        <v>211</v>
      </c>
      <c r="W385" s="1">
        <f>'[40]Huang&amp;Nobel_1992_Fig6'!$C$11</f>
        <v>2.8521620720066101E-7</v>
      </c>
      <c r="Z385" s="2">
        <v>1.1000000000000001</v>
      </c>
      <c r="AA385" t="s">
        <v>51</v>
      </c>
      <c r="AB385" t="s">
        <v>284</v>
      </c>
    </row>
    <row r="386" spans="1:28" x14ac:dyDescent="0.35">
      <c r="A386" t="s">
        <v>147</v>
      </c>
      <c r="B386" t="s">
        <v>105</v>
      </c>
      <c r="C386" t="s">
        <v>106</v>
      </c>
      <c r="D386" t="s">
        <v>107</v>
      </c>
      <c r="E386" t="s">
        <v>108</v>
      </c>
      <c r="F386" t="s">
        <v>109</v>
      </c>
      <c r="G386" t="s">
        <v>109</v>
      </c>
      <c r="H386" t="s">
        <v>109</v>
      </c>
      <c r="I386" t="s">
        <v>109</v>
      </c>
      <c r="J386">
        <v>48</v>
      </c>
      <c r="K386" t="s">
        <v>113</v>
      </c>
      <c r="L386" t="s">
        <v>113</v>
      </c>
      <c r="M386" t="str">
        <f t="shared" si="67"/>
        <v>Stress</v>
      </c>
      <c r="R386" t="s">
        <v>193</v>
      </c>
      <c r="S386" t="s">
        <v>148</v>
      </c>
      <c r="T386" t="s">
        <v>70</v>
      </c>
      <c r="U386" t="s">
        <v>211</v>
      </c>
      <c r="W386" s="1">
        <f>'[40]Huang&amp;Nobel_1992_Fig6'!$C$13</f>
        <v>2.0972532569308248E-7</v>
      </c>
      <c r="Z386" s="2">
        <v>1.1000000000000001</v>
      </c>
      <c r="AA386" t="s">
        <v>51</v>
      </c>
      <c r="AB386" t="s">
        <v>284</v>
      </c>
    </row>
    <row r="387" spans="1:28" x14ac:dyDescent="0.35">
      <c r="A387" t="s">
        <v>149</v>
      </c>
      <c r="B387" t="s">
        <v>150</v>
      </c>
      <c r="C387" t="s">
        <v>151</v>
      </c>
      <c r="D387" t="s">
        <v>11</v>
      </c>
      <c r="E387" t="s">
        <v>14</v>
      </c>
      <c r="F387" t="s">
        <v>15</v>
      </c>
      <c r="G387" t="s">
        <v>15</v>
      </c>
      <c r="H387" t="s">
        <v>15</v>
      </c>
      <c r="I387" t="s">
        <v>242</v>
      </c>
      <c r="J387">
        <v>33</v>
      </c>
      <c r="K387" t="s">
        <v>113</v>
      </c>
      <c r="L387" t="s">
        <v>16</v>
      </c>
      <c r="M387" t="str">
        <f t="shared" si="67"/>
        <v>Control</v>
      </c>
      <c r="R387" t="s">
        <v>193</v>
      </c>
      <c r="S387" t="s">
        <v>44</v>
      </c>
      <c r="T387" t="s">
        <v>31</v>
      </c>
      <c r="U387" t="s">
        <v>211</v>
      </c>
      <c r="W387" s="1">
        <v>2.2000000000000001E-7</v>
      </c>
      <c r="X387" s="1"/>
      <c r="AA387" t="s">
        <v>51</v>
      </c>
      <c r="AB387" t="s">
        <v>285</v>
      </c>
    </row>
    <row r="388" spans="1:28" x14ac:dyDescent="0.35">
      <c r="A388" t="s">
        <v>149</v>
      </c>
      <c r="B388" t="s">
        <v>150</v>
      </c>
      <c r="C388" t="s">
        <v>151</v>
      </c>
      <c r="D388" t="s">
        <v>11</v>
      </c>
      <c r="E388" t="s">
        <v>14</v>
      </c>
      <c r="F388" t="s">
        <v>15</v>
      </c>
      <c r="G388" t="s">
        <v>15</v>
      </c>
      <c r="H388" t="s">
        <v>15</v>
      </c>
      <c r="I388" t="s">
        <v>242</v>
      </c>
      <c r="J388">
        <v>33</v>
      </c>
      <c r="K388" t="s">
        <v>113</v>
      </c>
      <c r="L388" t="s">
        <v>113</v>
      </c>
      <c r="M388" t="str">
        <f t="shared" si="67"/>
        <v>Stress</v>
      </c>
      <c r="R388" t="s">
        <v>193</v>
      </c>
      <c r="S388" t="s">
        <v>44</v>
      </c>
      <c r="T388" t="s">
        <v>31</v>
      </c>
      <c r="U388" t="s">
        <v>211</v>
      </c>
      <c r="W388" s="1">
        <v>5.8999999999999999E-8</v>
      </c>
      <c r="X388" s="1"/>
      <c r="AA388" t="s">
        <v>51</v>
      </c>
      <c r="AB388" t="s">
        <v>285</v>
      </c>
    </row>
    <row r="389" spans="1:28" x14ac:dyDescent="0.35">
      <c r="A389" t="s">
        <v>152</v>
      </c>
      <c r="B389" t="s">
        <v>105</v>
      </c>
      <c r="C389" t="s">
        <v>106</v>
      </c>
      <c r="D389" t="s">
        <v>107</v>
      </c>
      <c r="E389" t="s">
        <v>108</v>
      </c>
      <c r="F389" t="s">
        <v>109</v>
      </c>
      <c r="G389" t="s">
        <v>109</v>
      </c>
      <c r="H389" t="s">
        <v>109</v>
      </c>
      <c r="I389" t="s">
        <v>109</v>
      </c>
      <c r="K389" t="s">
        <v>275</v>
      </c>
      <c r="L389" t="s">
        <v>254</v>
      </c>
      <c r="M389" t="s">
        <v>243</v>
      </c>
      <c r="R389" t="s">
        <v>193</v>
      </c>
      <c r="S389" t="s">
        <v>112</v>
      </c>
      <c r="T389" t="s">
        <v>31</v>
      </c>
      <c r="U389" t="s">
        <v>211</v>
      </c>
      <c r="W389" s="1">
        <v>7.6499999999999998E-7</v>
      </c>
      <c r="X389" s="2"/>
      <c r="Y389" s="2">
        <f>7.8*2</f>
        <v>15.6</v>
      </c>
      <c r="Z389" s="2">
        <f>1.4*2</f>
        <v>2.8</v>
      </c>
      <c r="AA389" t="s">
        <v>51</v>
      </c>
      <c r="AB389" t="s">
        <v>285</v>
      </c>
    </row>
    <row r="390" spans="1:28" x14ac:dyDescent="0.35">
      <c r="A390" t="s">
        <v>152</v>
      </c>
      <c r="B390" t="s">
        <v>105</v>
      </c>
      <c r="C390" t="s">
        <v>106</v>
      </c>
      <c r="D390" t="s">
        <v>107</v>
      </c>
      <c r="E390" t="s">
        <v>108</v>
      </c>
      <c r="F390" t="s">
        <v>109</v>
      </c>
      <c r="G390" t="s">
        <v>109</v>
      </c>
      <c r="H390" t="s">
        <v>109</v>
      </c>
      <c r="I390" t="s">
        <v>109</v>
      </c>
      <c r="K390" t="s">
        <v>275</v>
      </c>
      <c r="L390" t="s">
        <v>255</v>
      </c>
      <c r="M390" t="s">
        <v>243</v>
      </c>
      <c r="R390" t="s">
        <v>193</v>
      </c>
      <c r="S390" t="s">
        <v>112</v>
      </c>
      <c r="T390" t="s">
        <v>31</v>
      </c>
      <c r="U390" t="s">
        <v>211</v>
      </c>
      <c r="W390" s="1">
        <v>7.37E-7</v>
      </c>
      <c r="X390" s="2"/>
      <c r="Y390" s="2">
        <f>7.1*3</f>
        <v>21.299999999999997</v>
      </c>
      <c r="Z390" s="2">
        <f>1.57*2</f>
        <v>3.14</v>
      </c>
      <c r="AA390" t="s">
        <v>51</v>
      </c>
      <c r="AB390" t="s">
        <v>285</v>
      </c>
    </row>
    <row r="391" spans="1:28" x14ac:dyDescent="0.35">
      <c r="A391" t="s">
        <v>152</v>
      </c>
      <c r="B391" t="s">
        <v>105</v>
      </c>
      <c r="C391" t="s">
        <v>106</v>
      </c>
      <c r="D391" t="s">
        <v>107</v>
      </c>
      <c r="E391" t="s">
        <v>108</v>
      </c>
      <c r="F391" t="s">
        <v>109</v>
      </c>
      <c r="G391" t="s">
        <v>109</v>
      </c>
      <c r="H391" t="s">
        <v>109</v>
      </c>
      <c r="I391" t="s">
        <v>109</v>
      </c>
      <c r="K391" t="s">
        <v>275</v>
      </c>
      <c r="L391" t="s">
        <v>256</v>
      </c>
      <c r="M391" t="s">
        <v>243</v>
      </c>
      <c r="R391" t="s">
        <v>193</v>
      </c>
      <c r="S391" t="s">
        <v>112</v>
      </c>
      <c r="T391" t="s">
        <v>31</v>
      </c>
      <c r="U391" t="s">
        <v>211</v>
      </c>
      <c r="W391" s="1">
        <v>9.6999999999999995E-8</v>
      </c>
      <c r="X391" s="2"/>
      <c r="Y391" s="2">
        <f>5.4*5</f>
        <v>27</v>
      </c>
      <c r="Z391" s="2">
        <f>1*2</f>
        <v>2</v>
      </c>
      <c r="AA391" t="s">
        <v>51</v>
      </c>
      <c r="AB391" t="s">
        <v>285</v>
      </c>
    </row>
    <row r="392" spans="1:28" x14ac:dyDescent="0.35">
      <c r="A392" t="s">
        <v>152</v>
      </c>
      <c r="B392" t="s">
        <v>138</v>
      </c>
      <c r="C392" t="s">
        <v>120</v>
      </c>
      <c r="D392" t="s">
        <v>121</v>
      </c>
      <c r="E392" t="s">
        <v>108</v>
      </c>
      <c r="F392" t="s">
        <v>109</v>
      </c>
      <c r="G392" t="s">
        <v>109</v>
      </c>
      <c r="H392" t="s">
        <v>109</v>
      </c>
      <c r="I392" t="s">
        <v>109</v>
      </c>
      <c r="K392" t="s">
        <v>275</v>
      </c>
      <c r="L392" t="s">
        <v>254</v>
      </c>
      <c r="M392" t="s">
        <v>243</v>
      </c>
      <c r="R392" t="s">
        <v>193</v>
      </c>
      <c r="S392" t="s">
        <v>112</v>
      </c>
      <c r="T392" t="s">
        <v>31</v>
      </c>
      <c r="U392" t="s">
        <v>211</v>
      </c>
      <c r="W392" s="1">
        <v>5.1E-8</v>
      </c>
      <c r="X392" s="2"/>
      <c r="Y392" s="2">
        <f>4.2*2</f>
        <v>8.4</v>
      </c>
      <c r="Z392" s="2">
        <f>0.63*2</f>
        <v>1.26</v>
      </c>
      <c r="AA392" t="s">
        <v>51</v>
      </c>
      <c r="AB392" t="s">
        <v>285</v>
      </c>
    </row>
    <row r="393" spans="1:28" x14ac:dyDescent="0.35">
      <c r="A393" t="s">
        <v>152</v>
      </c>
      <c r="B393" t="s">
        <v>138</v>
      </c>
      <c r="C393" t="s">
        <v>120</v>
      </c>
      <c r="D393" t="s">
        <v>121</v>
      </c>
      <c r="E393" t="s">
        <v>108</v>
      </c>
      <c r="F393" t="s">
        <v>109</v>
      </c>
      <c r="G393" t="s">
        <v>109</v>
      </c>
      <c r="H393" t="s">
        <v>109</v>
      </c>
      <c r="I393" t="s">
        <v>109</v>
      </c>
      <c r="K393" t="s">
        <v>275</v>
      </c>
      <c r="L393" t="s">
        <v>255</v>
      </c>
      <c r="M393" t="s">
        <v>243</v>
      </c>
      <c r="R393" t="s">
        <v>193</v>
      </c>
      <c r="S393" t="s">
        <v>112</v>
      </c>
      <c r="T393" t="s">
        <v>31</v>
      </c>
      <c r="U393" t="s">
        <v>211</v>
      </c>
      <c r="W393" s="1">
        <v>2.1E-7</v>
      </c>
      <c r="X393" s="2"/>
      <c r="Y393" s="2">
        <f>6.5*6</f>
        <v>39</v>
      </c>
      <c r="Z393" s="2">
        <f>1.18*2</f>
        <v>2.36</v>
      </c>
      <c r="AA393" t="s">
        <v>51</v>
      </c>
      <c r="AB393" t="s">
        <v>285</v>
      </c>
    </row>
    <row r="394" spans="1:28" x14ac:dyDescent="0.35">
      <c r="A394" t="s">
        <v>152</v>
      </c>
      <c r="B394" t="s">
        <v>138</v>
      </c>
      <c r="C394" t="s">
        <v>120</v>
      </c>
      <c r="D394" t="s">
        <v>121</v>
      </c>
      <c r="E394" t="s">
        <v>108</v>
      </c>
      <c r="F394" t="s">
        <v>109</v>
      </c>
      <c r="G394" t="s">
        <v>109</v>
      </c>
      <c r="H394" t="s">
        <v>109</v>
      </c>
      <c r="I394" t="s">
        <v>109</v>
      </c>
      <c r="K394" t="s">
        <v>275</v>
      </c>
      <c r="L394" t="s">
        <v>256</v>
      </c>
      <c r="M394" t="s">
        <v>243</v>
      </c>
      <c r="R394" t="s">
        <v>193</v>
      </c>
      <c r="S394" t="s">
        <v>112</v>
      </c>
      <c r="T394" t="s">
        <v>31</v>
      </c>
      <c r="U394" t="s">
        <v>211</v>
      </c>
      <c r="W394" s="1">
        <v>2.28E-7</v>
      </c>
      <c r="X394" s="2"/>
      <c r="Y394" s="2">
        <f>7.7*10</f>
        <v>77</v>
      </c>
      <c r="Z394" s="2">
        <f>1.14*2</f>
        <v>2.2799999999999998</v>
      </c>
      <c r="AA394" t="s">
        <v>51</v>
      </c>
      <c r="AB394" t="s">
        <v>285</v>
      </c>
    </row>
    <row r="395" spans="1:28" x14ac:dyDescent="0.35">
      <c r="A395" t="s">
        <v>152</v>
      </c>
      <c r="B395" t="s">
        <v>105</v>
      </c>
      <c r="C395" t="s">
        <v>106</v>
      </c>
      <c r="D395" t="s">
        <v>107</v>
      </c>
      <c r="E395" t="s">
        <v>108</v>
      </c>
      <c r="F395" t="s">
        <v>109</v>
      </c>
      <c r="G395" t="s">
        <v>109</v>
      </c>
      <c r="H395" t="s">
        <v>109</v>
      </c>
      <c r="I395" t="s">
        <v>109</v>
      </c>
      <c r="K395" t="s">
        <v>275</v>
      </c>
      <c r="L395" t="s">
        <v>254</v>
      </c>
      <c r="M395" t="s">
        <v>243</v>
      </c>
      <c r="R395" t="s">
        <v>193</v>
      </c>
      <c r="S395" t="s">
        <v>112</v>
      </c>
      <c r="T395" t="s">
        <v>31</v>
      </c>
      <c r="U395" t="s">
        <v>211</v>
      </c>
      <c r="W395" s="1">
        <f>+AVERAGE(12.2,73.1)*0.0000001</f>
        <v>4.2649999999999998E-6</v>
      </c>
      <c r="X395" s="2"/>
      <c r="Y395" s="2"/>
      <c r="AA395" t="s">
        <v>51</v>
      </c>
      <c r="AB395" t="s">
        <v>284</v>
      </c>
    </row>
    <row r="396" spans="1:28" x14ac:dyDescent="0.35">
      <c r="A396" t="s">
        <v>152</v>
      </c>
      <c r="B396" t="s">
        <v>105</v>
      </c>
      <c r="C396" t="s">
        <v>106</v>
      </c>
      <c r="D396" t="s">
        <v>107</v>
      </c>
      <c r="E396" t="s">
        <v>108</v>
      </c>
      <c r="F396" t="s">
        <v>109</v>
      </c>
      <c r="G396" t="s">
        <v>109</v>
      </c>
      <c r="H396" t="s">
        <v>109</v>
      </c>
      <c r="I396" t="s">
        <v>109</v>
      </c>
      <c r="K396" t="s">
        <v>275</v>
      </c>
      <c r="L396" t="s">
        <v>255</v>
      </c>
      <c r="M396" t="s">
        <v>243</v>
      </c>
      <c r="R396" t="s">
        <v>193</v>
      </c>
      <c r="S396" t="s">
        <v>112</v>
      </c>
      <c r="T396" t="s">
        <v>31</v>
      </c>
      <c r="U396" t="s">
        <v>211</v>
      </c>
      <c r="W396" s="1">
        <f>+AVERAGE(9.2,33.5)*0.0000001</f>
        <v>2.1349999999999999E-6</v>
      </c>
      <c r="X396" s="2"/>
      <c r="Y396" s="2"/>
      <c r="AA396" t="s">
        <v>51</v>
      </c>
      <c r="AB396" t="s">
        <v>284</v>
      </c>
    </row>
    <row r="397" spans="1:28" x14ac:dyDescent="0.35">
      <c r="A397" t="s">
        <v>152</v>
      </c>
      <c r="B397" t="s">
        <v>105</v>
      </c>
      <c r="C397" t="s">
        <v>106</v>
      </c>
      <c r="D397" t="s">
        <v>107</v>
      </c>
      <c r="E397" t="s">
        <v>108</v>
      </c>
      <c r="F397" t="s">
        <v>109</v>
      </c>
      <c r="G397" t="s">
        <v>109</v>
      </c>
      <c r="H397" t="s">
        <v>109</v>
      </c>
      <c r="I397" t="s">
        <v>109</v>
      </c>
      <c r="K397" t="s">
        <v>275</v>
      </c>
      <c r="L397" t="s">
        <v>256</v>
      </c>
      <c r="M397" t="s">
        <v>243</v>
      </c>
      <c r="R397" t="s">
        <v>193</v>
      </c>
      <c r="S397" t="s">
        <v>112</v>
      </c>
      <c r="T397" t="s">
        <v>31</v>
      </c>
      <c r="U397" t="s">
        <v>211</v>
      </c>
      <c r="W397" s="1">
        <f>+AVERAGE(0.66,2.19)*0.0000001</f>
        <v>1.4249999999999999E-7</v>
      </c>
      <c r="X397" s="2"/>
      <c r="Y397" s="2"/>
      <c r="AA397" t="s">
        <v>51</v>
      </c>
      <c r="AB397" t="s">
        <v>284</v>
      </c>
    </row>
    <row r="398" spans="1:28" x14ac:dyDescent="0.35">
      <c r="A398" t="s">
        <v>152</v>
      </c>
      <c r="B398" t="s">
        <v>138</v>
      </c>
      <c r="C398" t="s">
        <v>120</v>
      </c>
      <c r="D398" t="s">
        <v>121</v>
      </c>
      <c r="E398" t="s">
        <v>108</v>
      </c>
      <c r="F398" t="s">
        <v>109</v>
      </c>
      <c r="G398" t="s">
        <v>109</v>
      </c>
      <c r="H398" t="s">
        <v>109</v>
      </c>
      <c r="I398" t="s">
        <v>109</v>
      </c>
      <c r="K398" t="s">
        <v>275</v>
      </c>
      <c r="L398" t="s">
        <v>254</v>
      </c>
      <c r="M398" t="s">
        <v>243</v>
      </c>
      <c r="R398" t="s">
        <v>193</v>
      </c>
      <c r="S398" t="s">
        <v>112</v>
      </c>
      <c r="T398" t="s">
        <v>31</v>
      </c>
      <c r="U398" t="s">
        <v>211</v>
      </c>
      <c r="W398" s="1">
        <f>+AVERAGE(0.68,2.45)*0.0000001</f>
        <v>1.5650000000000001E-7</v>
      </c>
      <c r="X398" s="2"/>
      <c r="Y398" s="2"/>
      <c r="AA398" t="s">
        <v>51</v>
      </c>
      <c r="AB398" t="s">
        <v>284</v>
      </c>
    </row>
    <row r="399" spans="1:28" x14ac:dyDescent="0.35">
      <c r="A399" t="s">
        <v>152</v>
      </c>
      <c r="B399" t="s">
        <v>138</v>
      </c>
      <c r="C399" t="s">
        <v>120</v>
      </c>
      <c r="D399" t="s">
        <v>121</v>
      </c>
      <c r="E399" t="s">
        <v>108</v>
      </c>
      <c r="F399" t="s">
        <v>109</v>
      </c>
      <c r="G399" t="s">
        <v>109</v>
      </c>
      <c r="H399" t="s">
        <v>109</v>
      </c>
      <c r="I399" t="s">
        <v>109</v>
      </c>
      <c r="K399" t="s">
        <v>275</v>
      </c>
      <c r="L399" t="s">
        <v>255</v>
      </c>
      <c r="M399" t="s">
        <v>243</v>
      </c>
      <c r="R399" t="s">
        <v>193</v>
      </c>
      <c r="S399" t="s">
        <v>112</v>
      </c>
      <c r="T399" t="s">
        <v>31</v>
      </c>
      <c r="U399" t="s">
        <v>211</v>
      </c>
      <c r="W399" s="1">
        <f>+AVERAGE(1.31,7.35)*0.0000001</f>
        <v>4.3299999999999997E-7</v>
      </c>
      <c r="X399" s="2"/>
      <c r="Y399" s="2"/>
      <c r="AA399" t="s">
        <v>51</v>
      </c>
      <c r="AB399" t="s">
        <v>284</v>
      </c>
    </row>
    <row r="400" spans="1:28" x14ac:dyDescent="0.35">
      <c r="A400" t="s">
        <v>152</v>
      </c>
      <c r="B400" t="s">
        <v>138</v>
      </c>
      <c r="C400" t="s">
        <v>120</v>
      </c>
      <c r="D400" t="s">
        <v>121</v>
      </c>
      <c r="E400" t="s">
        <v>108</v>
      </c>
      <c r="F400" t="s">
        <v>109</v>
      </c>
      <c r="G400" t="s">
        <v>109</v>
      </c>
      <c r="H400" t="s">
        <v>109</v>
      </c>
      <c r="I400" t="s">
        <v>109</v>
      </c>
      <c r="K400" t="s">
        <v>275</v>
      </c>
      <c r="L400" t="s">
        <v>256</v>
      </c>
      <c r="M400" t="s">
        <v>243</v>
      </c>
      <c r="R400" t="s">
        <v>193</v>
      </c>
      <c r="S400" t="s">
        <v>112</v>
      </c>
      <c r="T400" t="s">
        <v>31</v>
      </c>
      <c r="U400" t="s">
        <v>211</v>
      </c>
      <c r="W400" s="1">
        <f>+AVERAGE(1.12,63.3)*0.0000001</f>
        <v>3.2209999999999997E-6</v>
      </c>
      <c r="X400" s="2"/>
      <c r="Y400" s="2"/>
      <c r="AA400" t="s">
        <v>51</v>
      </c>
      <c r="AB400" t="s">
        <v>284</v>
      </c>
    </row>
    <row r="401" spans="1:28" x14ac:dyDescent="0.35">
      <c r="A401" t="s">
        <v>153</v>
      </c>
      <c r="B401" t="s">
        <v>19</v>
      </c>
      <c r="C401" t="s">
        <v>20</v>
      </c>
      <c r="D401" t="s">
        <v>11</v>
      </c>
      <c r="E401" t="s">
        <v>14</v>
      </c>
      <c r="F401" t="s">
        <v>15</v>
      </c>
      <c r="G401" t="s">
        <v>15</v>
      </c>
      <c r="H401" t="s">
        <v>15</v>
      </c>
      <c r="I401" t="s">
        <v>242</v>
      </c>
      <c r="J401">
        <f>3+AVERAGE(8,11)</f>
        <v>12.5</v>
      </c>
      <c r="K401" t="s">
        <v>281</v>
      </c>
      <c r="L401" t="s">
        <v>281</v>
      </c>
      <c r="M401" t="s">
        <v>281</v>
      </c>
      <c r="R401" t="s">
        <v>193</v>
      </c>
      <c r="S401" t="s">
        <v>29</v>
      </c>
      <c r="T401" t="s">
        <v>26</v>
      </c>
      <c r="U401" t="s">
        <v>211</v>
      </c>
      <c r="W401" s="1">
        <v>1.6E-7</v>
      </c>
      <c r="X401" s="2"/>
      <c r="Y401">
        <f>+AVERAGE(15,25)</f>
        <v>20</v>
      </c>
      <c r="Z401">
        <f>+AVERAGE(0.8,1.2)</f>
        <v>1</v>
      </c>
      <c r="AA401" t="s">
        <v>21</v>
      </c>
      <c r="AB401" t="s">
        <v>285</v>
      </c>
    </row>
    <row r="402" spans="1:28" x14ac:dyDescent="0.35">
      <c r="A402" t="s">
        <v>155</v>
      </c>
      <c r="B402" t="s">
        <v>105</v>
      </c>
      <c r="C402" t="s">
        <v>106</v>
      </c>
      <c r="D402" t="s">
        <v>107</v>
      </c>
      <c r="E402" t="s">
        <v>108</v>
      </c>
      <c r="F402" t="s">
        <v>109</v>
      </c>
      <c r="G402" t="s">
        <v>109</v>
      </c>
      <c r="H402" t="s">
        <v>109</v>
      </c>
      <c r="I402" t="s">
        <v>109</v>
      </c>
      <c r="J402">
        <f>+AVERAGE(4,6)*7</f>
        <v>35</v>
      </c>
      <c r="K402" t="s">
        <v>234</v>
      </c>
      <c r="L402" t="s">
        <v>16</v>
      </c>
      <c r="M402" t="str">
        <f t="shared" ref="M402:M415" si="68">+IF(L402="Control","Control","Stress")</f>
        <v>Control</v>
      </c>
      <c r="N402" t="s">
        <v>235</v>
      </c>
      <c r="O402" t="s">
        <v>243</v>
      </c>
      <c r="R402" t="s">
        <v>193</v>
      </c>
      <c r="S402" t="s">
        <v>156</v>
      </c>
      <c r="T402" t="s">
        <v>31</v>
      </c>
      <c r="U402" t="s">
        <v>211</v>
      </c>
      <c r="W402" s="1">
        <v>1.8300000000000001E-6</v>
      </c>
      <c r="X402" s="2"/>
      <c r="Y402">
        <f>+AVERAGE(20,40)</f>
        <v>30</v>
      </c>
      <c r="Z402" s="5">
        <v>3</v>
      </c>
      <c r="AA402" t="s">
        <v>51</v>
      </c>
      <c r="AB402" t="s">
        <v>284</v>
      </c>
    </row>
    <row r="403" spans="1:28" x14ac:dyDescent="0.35">
      <c r="A403" t="s">
        <v>155</v>
      </c>
      <c r="B403" t="s">
        <v>105</v>
      </c>
      <c r="C403" t="s">
        <v>106</v>
      </c>
      <c r="D403" t="s">
        <v>107</v>
      </c>
      <c r="E403" t="s">
        <v>108</v>
      </c>
      <c r="F403" t="s">
        <v>109</v>
      </c>
      <c r="G403" t="s">
        <v>109</v>
      </c>
      <c r="H403" t="s">
        <v>109</v>
      </c>
      <c r="I403" t="s">
        <v>109</v>
      </c>
      <c r="J403">
        <f>+AVERAGE(6,12)*30</f>
        <v>270</v>
      </c>
      <c r="K403" t="s">
        <v>234</v>
      </c>
      <c r="L403" t="s">
        <v>16</v>
      </c>
      <c r="M403" t="str">
        <f t="shared" si="68"/>
        <v>Control</v>
      </c>
      <c r="N403" t="s">
        <v>236</v>
      </c>
      <c r="O403" t="s">
        <v>243</v>
      </c>
      <c r="R403" t="s">
        <v>193</v>
      </c>
      <c r="S403" t="s">
        <v>156</v>
      </c>
      <c r="T403" t="s">
        <v>31</v>
      </c>
      <c r="U403" t="s">
        <v>211</v>
      </c>
      <c r="W403" s="1">
        <v>3.8199999999999998E-8</v>
      </c>
      <c r="X403" s="2"/>
      <c r="Y403">
        <f>+AVERAGE(20,40)</f>
        <v>30</v>
      </c>
      <c r="Z403" s="5">
        <v>3</v>
      </c>
      <c r="AA403" t="s">
        <v>51</v>
      </c>
      <c r="AB403" t="s">
        <v>284</v>
      </c>
    </row>
    <row r="404" spans="1:28" x14ac:dyDescent="0.35">
      <c r="A404" t="s">
        <v>155</v>
      </c>
      <c r="B404" t="s">
        <v>105</v>
      </c>
      <c r="C404" t="s">
        <v>106</v>
      </c>
      <c r="D404" t="s">
        <v>107</v>
      </c>
      <c r="E404" t="s">
        <v>108</v>
      </c>
      <c r="F404" t="s">
        <v>109</v>
      </c>
      <c r="G404" t="s">
        <v>109</v>
      </c>
      <c r="H404" t="s">
        <v>109</v>
      </c>
      <c r="I404" t="s">
        <v>109</v>
      </c>
      <c r="J404">
        <f>+AVERAGE(4,6)*7</f>
        <v>35</v>
      </c>
      <c r="K404" t="s">
        <v>234</v>
      </c>
      <c r="L404" t="s">
        <v>16</v>
      </c>
      <c r="M404" t="str">
        <f t="shared" si="68"/>
        <v>Control</v>
      </c>
      <c r="N404" t="s">
        <v>235</v>
      </c>
      <c r="O404" t="s">
        <v>243</v>
      </c>
      <c r="R404" t="s">
        <v>193</v>
      </c>
      <c r="S404" t="s">
        <v>148</v>
      </c>
      <c r="T404" t="s">
        <v>31</v>
      </c>
      <c r="U404" t="s">
        <v>211</v>
      </c>
      <c r="W404" s="1">
        <v>2.3999999999999998E-7</v>
      </c>
      <c r="X404" s="2"/>
      <c r="Y404">
        <v>10</v>
      </c>
      <c r="Z404" s="5">
        <v>1</v>
      </c>
      <c r="AA404" t="s">
        <v>51</v>
      </c>
      <c r="AB404" t="s">
        <v>284</v>
      </c>
    </row>
    <row r="405" spans="1:28" x14ac:dyDescent="0.35">
      <c r="A405" t="s">
        <v>155</v>
      </c>
      <c r="B405" t="s">
        <v>105</v>
      </c>
      <c r="C405" t="s">
        <v>106</v>
      </c>
      <c r="D405" t="s">
        <v>107</v>
      </c>
      <c r="E405" t="s">
        <v>108</v>
      </c>
      <c r="F405" t="s">
        <v>109</v>
      </c>
      <c r="G405" t="s">
        <v>109</v>
      </c>
      <c r="H405" t="s">
        <v>109</v>
      </c>
      <c r="I405" t="s">
        <v>109</v>
      </c>
      <c r="J405">
        <f>+AVERAGE(4,6)*7</f>
        <v>35</v>
      </c>
      <c r="K405" t="s">
        <v>234</v>
      </c>
      <c r="L405" t="s">
        <v>113</v>
      </c>
      <c r="M405" t="str">
        <f t="shared" si="68"/>
        <v>Stress</v>
      </c>
      <c r="N405" t="s">
        <v>235</v>
      </c>
      <c r="O405" t="s">
        <v>243</v>
      </c>
      <c r="R405" t="s">
        <v>193</v>
      </c>
      <c r="S405" t="s">
        <v>156</v>
      </c>
      <c r="T405" t="s">
        <v>31</v>
      </c>
      <c r="U405" t="s">
        <v>211</v>
      </c>
      <c r="W405" s="1">
        <v>3.7099999999999995E-8</v>
      </c>
      <c r="X405" s="2"/>
      <c r="Y405">
        <f t="shared" ref="Y405:Y414" si="69">+AVERAGE(20,40)</f>
        <v>30</v>
      </c>
      <c r="Z405" s="5">
        <v>3</v>
      </c>
      <c r="AA405" t="s">
        <v>51</v>
      </c>
      <c r="AB405" t="s">
        <v>284</v>
      </c>
    </row>
    <row r="406" spans="1:28" x14ac:dyDescent="0.35">
      <c r="A406" t="s">
        <v>155</v>
      </c>
      <c r="B406" t="s">
        <v>105</v>
      </c>
      <c r="C406" t="s">
        <v>106</v>
      </c>
      <c r="D406" t="s">
        <v>107</v>
      </c>
      <c r="E406" t="s">
        <v>108</v>
      </c>
      <c r="F406" t="s">
        <v>109</v>
      </c>
      <c r="G406" t="s">
        <v>109</v>
      </c>
      <c r="H406" t="s">
        <v>109</v>
      </c>
      <c r="I406" t="s">
        <v>109</v>
      </c>
      <c r="J406">
        <f>+AVERAGE(6,12)*30</f>
        <v>270</v>
      </c>
      <c r="K406" t="s">
        <v>234</v>
      </c>
      <c r="L406" t="s">
        <v>113</v>
      </c>
      <c r="M406" t="str">
        <f t="shared" si="68"/>
        <v>Stress</v>
      </c>
      <c r="N406" t="s">
        <v>236</v>
      </c>
      <c r="O406" t="s">
        <v>243</v>
      </c>
      <c r="R406" t="s">
        <v>193</v>
      </c>
      <c r="S406" t="s">
        <v>156</v>
      </c>
      <c r="T406" t="s">
        <v>31</v>
      </c>
      <c r="U406" t="s">
        <v>211</v>
      </c>
      <c r="W406" s="1">
        <v>4.2699999999999999E-8</v>
      </c>
      <c r="X406" s="2"/>
      <c r="Y406">
        <f t="shared" si="69"/>
        <v>30</v>
      </c>
      <c r="Z406" s="5">
        <v>3</v>
      </c>
      <c r="AA406" t="s">
        <v>51</v>
      </c>
      <c r="AB406" t="s">
        <v>284</v>
      </c>
    </row>
    <row r="407" spans="1:28" x14ac:dyDescent="0.35">
      <c r="A407" t="s">
        <v>155</v>
      </c>
      <c r="B407" t="s">
        <v>105</v>
      </c>
      <c r="C407" t="s">
        <v>106</v>
      </c>
      <c r="D407" t="s">
        <v>107</v>
      </c>
      <c r="E407" t="s">
        <v>108</v>
      </c>
      <c r="F407" t="s">
        <v>109</v>
      </c>
      <c r="G407" t="s">
        <v>109</v>
      </c>
      <c r="H407" t="s">
        <v>109</v>
      </c>
      <c r="I407" t="s">
        <v>109</v>
      </c>
      <c r="J407">
        <f>+AVERAGE(4,6)*7</f>
        <v>35</v>
      </c>
      <c r="K407" t="s">
        <v>234</v>
      </c>
      <c r="L407" t="s">
        <v>113</v>
      </c>
      <c r="M407" t="str">
        <f t="shared" si="68"/>
        <v>Stress</v>
      </c>
      <c r="N407" t="s">
        <v>235</v>
      </c>
      <c r="O407" t="s">
        <v>243</v>
      </c>
      <c r="R407" t="s">
        <v>193</v>
      </c>
      <c r="S407" t="s">
        <v>148</v>
      </c>
      <c r="T407" t="s">
        <v>31</v>
      </c>
      <c r="U407" t="s">
        <v>211</v>
      </c>
      <c r="W407" s="1">
        <v>1.1700000000000001E-8</v>
      </c>
      <c r="X407" s="2"/>
      <c r="Y407">
        <v>10</v>
      </c>
      <c r="Z407" s="5">
        <v>1</v>
      </c>
      <c r="AA407" t="s">
        <v>51</v>
      </c>
      <c r="AB407" t="s">
        <v>284</v>
      </c>
    </row>
    <row r="408" spans="1:28" x14ac:dyDescent="0.35">
      <c r="A408" t="s">
        <v>155</v>
      </c>
      <c r="B408" t="s">
        <v>105</v>
      </c>
      <c r="C408" t="s">
        <v>106</v>
      </c>
      <c r="D408" t="s">
        <v>107</v>
      </c>
      <c r="E408" t="s">
        <v>108</v>
      </c>
      <c r="F408" t="s">
        <v>109</v>
      </c>
      <c r="G408" t="s">
        <v>109</v>
      </c>
      <c r="H408" t="s">
        <v>109</v>
      </c>
      <c r="I408" t="s">
        <v>109</v>
      </c>
      <c r="J408">
        <f>+AVERAGE(4,6)*7</f>
        <v>35</v>
      </c>
      <c r="K408" t="s">
        <v>234</v>
      </c>
      <c r="L408" t="s">
        <v>113</v>
      </c>
      <c r="M408" t="str">
        <f t="shared" si="68"/>
        <v>Stress</v>
      </c>
      <c r="N408" t="s">
        <v>235</v>
      </c>
      <c r="O408" t="s">
        <v>243</v>
      </c>
      <c r="R408" t="s">
        <v>193</v>
      </c>
      <c r="S408" t="s">
        <v>156</v>
      </c>
      <c r="T408" t="s">
        <v>31</v>
      </c>
      <c r="U408" t="s">
        <v>211</v>
      </c>
      <c r="W408" s="1">
        <v>2.3199999999999999E-8</v>
      </c>
      <c r="X408" s="2"/>
      <c r="Y408">
        <f t="shared" ref="Y408:Y409" si="70">+AVERAGE(20,40)</f>
        <v>30</v>
      </c>
      <c r="Z408" s="5">
        <v>3</v>
      </c>
      <c r="AA408" t="s">
        <v>51</v>
      </c>
      <c r="AB408" t="s">
        <v>284</v>
      </c>
    </row>
    <row r="409" spans="1:28" x14ac:dyDescent="0.35">
      <c r="A409" t="s">
        <v>155</v>
      </c>
      <c r="B409" t="s">
        <v>105</v>
      </c>
      <c r="C409" t="s">
        <v>106</v>
      </c>
      <c r="D409" t="s">
        <v>107</v>
      </c>
      <c r="E409" t="s">
        <v>108</v>
      </c>
      <c r="F409" t="s">
        <v>109</v>
      </c>
      <c r="G409" t="s">
        <v>109</v>
      </c>
      <c r="H409" t="s">
        <v>109</v>
      </c>
      <c r="I409" t="s">
        <v>109</v>
      </c>
      <c r="J409">
        <f>+AVERAGE(6,12)*30</f>
        <v>270</v>
      </c>
      <c r="K409" t="s">
        <v>234</v>
      </c>
      <c r="L409" t="s">
        <v>113</v>
      </c>
      <c r="M409" t="str">
        <f t="shared" si="68"/>
        <v>Stress</v>
      </c>
      <c r="N409" t="s">
        <v>236</v>
      </c>
      <c r="O409" t="s">
        <v>243</v>
      </c>
      <c r="R409" t="s">
        <v>193</v>
      </c>
      <c r="S409" t="s">
        <v>156</v>
      </c>
      <c r="T409" t="s">
        <v>31</v>
      </c>
      <c r="U409" t="s">
        <v>211</v>
      </c>
      <c r="W409" s="1">
        <v>3.2199999999999997E-8</v>
      </c>
      <c r="X409" s="2"/>
      <c r="Y409">
        <f t="shared" si="70"/>
        <v>30</v>
      </c>
      <c r="Z409" s="5">
        <v>3</v>
      </c>
      <c r="AA409" t="s">
        <v>51</v>
      </c>
      <c r="AB409" t="s">
        <v>284</v>
      </c>
    </row>
    <row r="410" spans="1:28" x14ac:dyDescent="0.35">
      <c r="A410" t="s">
        <v>155</v>
      </c>
      <c r="B410" t="s">
        <v>105</v>
      </c>
      <c r="C410" t="s">
        <v>106</v>
      </c>
      <c r="D410" t="s">
        <v>107</v>
      </c>
      <c r="E410" t="s">
        <v>108</v>
      </c>
      <c r="F410" t="s">
        <v>109</v>
      </c>
      <c r="G410" t="s">
        <v>109</v>
      </c>
      <c r="H410" t="s">
        <v>109</v>
      </c>
      <c r="I410" t="s">
        <v>109</v>
      </c>
      <c r="J410">
        <f>+AVERAGE(4,6)*7</f>
        <v>35</v>
      </c>
      <c r="K410" t="s">
        <v>234</v>
      </c>
      <c r="L410" t="s">
        <v>16</v>
      </c>
      <c r="M410" t="str">
        <f t="shared" si="68"/>
        <v>Control</v>
      </c>
      <c r="N410" t="s">
        <v>235</v>
      </c>
      <c r="O410" t="s">
        <v>243</v>
      </c>
      <c r="R410" t="s">
        <v>193</v>
      </c>
      <c r="S410" t="s">
        <v>156</v>
      </c>
      <c r="T410" t="s">
        <v>31</v>
      </c>
      <c r="U410" t="s">
        <v>211</v>
      </c>
      <c r="W410" s="1">
        <f>'[41]North&amp;Nobel_1991_Fig1'!B2</f>
        <v>2.1402616279069699E-7</v>
      </c>
      <c r="X410" s="2"/>
      <c r="Y410">
        <f t="shared" si="69"/>
        <v>30</v>
      </c>
      <c r="Z410" s="5">
        <v>3</v>
      </c>
      <c r="AA410" t="s">
        <v>51</v>
      </c>
      <c r="AB410" t="s">
        <v>285</v>
      </c>
    </row>
    <row r="411" spans="1:28" x14ac:dyDescent="0.35">
      <c r="A411" t="s">
        <v>155</v>
      </c>
      <c r="B411" t="s">
        <v>105</v>
      </c>
      <c r="C411" t="s">
        <v>106</v>
      </c>
      <c r="D411" t="s">
        <v>107</v>
      </c>
      <c r="E411" t="s">
        <v>108</v>
      </c>
      <c r="F411" t="s">
        <v>109</v>
      </c>
      <c r="G411" t="s">
        <v>109</v>
      </c>
      <c r="H411" t="s">
        <v>109</v>
      </c>
      <c r="I411" t="s">
        <v>109</v>
      </c>
      <c r="J411">
        <f>+AVERAGE(6,12)*30</f>
        <v>270</v>
      </c>
      <c r="K411" t="s">
        <v>234</v>
      </c>
      <c r="L411" t="s">
        <v>16</v>
      </c>
      <c r="M411" t="str">
        <f t="shared" si="68"/>
        <v>Control</v>
      </c>
      <c r="N411" t="s">
        <v>236</v>
      </c>
      <c r="O411" t="s">
        <v>243</v>
      </c>
      <c r="R411" t="s">
        <v>193</v>
      </c>
      <c r="S411" t="s">
        <v>156</v>
      </c>
      <c r="T411" t="s">
        <v>31</v>
      </c>
      <c r="U411" t="s">
        <v>211</v>
      </c>
      <c r="W411" s="1">
        <f>'[41]North&amp;Nobel_1991_Fig1'!B3</f>
        <v>3.7063953488372101E-8</v>
      </c>
      <c r="X411" s="2"/>
      <c r="Y411">
        <f t="shared" si="69"/>
        <v>30</v>
      </c>
      <c r="Z411" s="5">
        <v>1</v>
      </c>
      <c r="AA411" t="s">
        <v>51</v>
      </c>
      <c r="AB411" t="s">
        <v>285</v>
      </c>
    </row>
    <row r="412" spans="1:28" x14ac:dyDescent="0.35">
      <c r="A412" t="s">
        <v>155</v>
      </c>
      <c r="B412" t="s">
        <v>105</v>
      </c>
      <c r="C412" t="s">
        <v>106</v>
      </c>
      <c r="D412" t="s">
        <v>107</v>
      </c>
      <c r="E412" t="s">
        <v>108</v>
      </c>
      <c r="F412" t="s">
        <v>109</v>
      </c>
      <c r="G412" t="s">
        <v>109</v>
      </c>
      <c r="H412" t="s">
        <v>109</v>
      </c>
      <c r="I412" t="s">
        <v>109</v>
      </c>
      <c r="J412">
        <f>+AVERAGE(4,6)*7</f>
        <v>35</v>
      </c>
      <c r="K412" t="s">
        <v>234</v>
      </c>
      <c r="L412" t="s">
        <v>16</v>
      </c>
      <c r="M412" t="str">
        <f t="shared" si="68"/>
        <v>Control</v>
      </c>
      <c r="N412" t="s">
        <v>235</v>
      </c>
      <c r="O412" t="s">
        <v>243</v>
      </c>
      <c r="R412" t="s">
        <v>193</v>
      </c>
      <c r="S412" t="s">
        <v>148</v>
      </c>
      <c r="T412" t="s">
        <v>31</v>
      </c>
      <c r="U412" t="s">
        <v>211</v>
      </c>
      <c r="W412" s="1">
        <f>'[41]North&amp;Nobel_1991_Fig1'!B4</f>
        <v>1.9949127906976701E-7</v>
      </c>
      <c r="X412" s="2"/>
      <c r="Y412">
        <v>10</v>
      </c>
      <c r="Z412" s="5">
        <v>3</v>
      </c>
      <c r="AA412" t="s">
        <v>51</v>
      </c>
      <c r="AB412" t="s">
        <v>285</v>
      </c>
    </row>
    <row r="413" spans="1:28" x14ac:dyDescent="0.35">
      <c r="A413" t="s">
        <v>155</v>
      </c>
      <c r="B413" t="s">
        <v>105</v>
      </c>
      <c r="C413" t="s">
        <v>106</v>
      </c>
      <c r="D413" t="s">
        <v>107</v>
      </c>
      <c r="E413" t="s">
        <v>108</v>
      </c>
      <c r="F413" t="s">
        <v>109</v>
      </c>
      <c r="G413" t="s">
        <v>109</v>
      </c>
      <c r="H413" t="s">
        <v>109</v>
      </c>
      <c r="I413" t="s">
        <v>109</v>
      </c>
      <c r="J413">
        <f>+AVERAGE(4,6)*7</f>
        <v>35</v>
      </c>
      <c r="K413" t="s">
        <v>234</v>
      </c>
      <c r="L413" t="s">
        <v>113</v>
      </c>
      <c r="M413" t="str">
        <f t="shared" si="68"/>
        <v>Stress</v>
      </c>
      <c r="N413" t="s">
        <v>235</v>
      </c>
      <c r="O413" t="s">
        <v>243</v>
      </c>
      <c r="R413" t="s">
        <v>193</v>
      </c>
      <c r="S413" t="s">
        <v>156</v>
      </c>
      <c r="T413" t="s">
        <v>31</v>
      </c>
      <c r="U413" t="s">
        <v>211</v>
      </c>
      <c r="W413" s="1">
        <f>'[41]North&amp;Nobel_1991_Fig1'!B5</f>
        <v>1.9985465116279101E-8</v>
      </c>
      <c r="X413" s="2"/>
      <c r="Y413">
        <f t="shared" si="69"/>
        <v>30</v>
      </c>
      <c r="Z413" s="5">
        <v>3</v>
      </c>
      <c r="AA413" t="s">
        <v>51</v>
      </c>
      <c r="AB413" t="s">
        <v>285</v>
      </c>
    </row>
    <row r="414" spans="1:28" x14ac:dyDescent="0.35">
      <c r="A414" t="s">
        <v>155</v>
      </c>
      <c r="B414" t="s">
        <v>105</v>
      </c>
      <c r="C414" t="s">
        <v>106</v>
      </c>
      <c r="D414" t="s">
        <v>107</v>
      </c>
      <c r="E414" t="s">
        <v>108</v>
      </c>
      <c r="F414" t="s">
        <v>109</v>
      </c>
      <c r="G414" t="s">
        <v>109</v>
      </c>
      <c r="H414" t="s">
        <v>109</v>
      </c>
      <c r="I414" t="s">
        <v>109</v>
      </c>
      <c r="J414">
        <f>+AVERAGE(6,12)*30</f>
        <v>270</v>
      </c>
      <c r="K414" t="s">
        <v>234</v>
      </c>
      <c r="L414" t="s">
        <v>113</v>
      </c>
      <c r="M414" t="str">
        <f t="shared" si="68"/>
        <v>Stress</v>
      </c>
      <c r="N414" t="s">
        <v>236</v>
      </c>
      <c r="O414" t="s">
        <v>243</v>
      </c>
      <c r="R414" t="s">
        <v>193</v>
      </c>
      <c r="S414" t="s">
        <v>156</v>
      </c>
      <c r="T414" t="s">
        <v>31</v>
      </c>
      <c r="U414" t="s">
        <v>211</v>
      </c>
      <c r="W414" s="1">
        <f>'[41]North&amp;Nobel_1991_Fig1'!B6</f>
        <v>3.1249999999999999E-8</v>
      </c>
      <c r="X414" s="2"/>
      <c r="Y414">
        <f t="shared" si="69"/>
        <v>30</v>
      </c>
      <c r="Z414" s="5">
        <v>1</v>
      </c>
      <c r="AA414" t="s">
        <v>51</v>
      </c>
      <c r="AB414" t="s">
        <v>285</v>
      </c>
    </row>
    <row r="415" spans="1:28" x14ac:dyDescent="0.35">
      <c r="A415" t="s">
        <v>155</v>
      </c>
      <c r="B415" t="s">
        <v>105</v>
      </c>
      <c r="C415" t="s">
        <v>106</v>
      </c>
      <c r="D415" t="s">
        <v>107</v>
      </c>
      <c r="E415" t="s">
        <v>108</v>
      </c>
      <c r="F415" t="s">
        <v>109</v>
      </c>
      <c r="G415" t="s">
        <v>109</v>
      </c>
      <c r="H415" t="s">
        <v>109</v>
      </c>
      <c r="I415" t="s">
        <v>109</v>
      </c>
      <c r="J415">
        <f>+AVERAGE(4,6)*7</f>
        <v>35</v>
      </c>
      <c r="K415" t="s">
        <v>234</v>
      </c>
      <c r="L415" t="s">
        <v>113</v>
      </c>
      <c r="M415" t="str">
        <f t="shared" si="68"/>
        <v>Stress</v>
      </c>
      <c r="N415" t="s">
        <v>235</v>
      </c>
      <c r="O415" t="s">
        <v>243</v>
      </c>
      <c r="R415" t="s">
        <v>193</v>
      </c>
      <c r="S415" t="s">
        <v>148</v>
      </c>
      <c r="T415" t="s">
        <v>31</v>
      </c>
      <c r="U415" t="s">
        <v>211</v>
      </c>
      <c r="W415" s="1">
        <f>'[41]North&amp;Nobel_1991_Fig1'!B7</f>
        <v>3.6337209302329599E-10</v>
      </c>
      <c r="X415" s="2"/>
      <c r="Y415">
        <v>10</v>
      </c>
      <c r="Z415" s="5">
        <v>3</v>
      </c>
      <c r="AA415" t="s">
        <v>51</v>
      </c>
      <c r="AB415" t="s">
        <v>285</v>
      </c>
    </row>
    <row r="416" spans="1:28" x14ac:dyDescent="0.35">
      <c r="A416" t="s">
        <v>157</v>
      </c>
      <c r="B416" t="s">
        <v>158</v>
      </c>
      <c r="C416" t="s">
        <v>159</v>
      </c>
      <c r="D416" t="s">
        <v>121</v>
      </c>
      <c r="E416" t="s">
        <v>108</v>
      </c>
      <c r="F416" t="s">
        <v>109</v>
      </c>
      <c r="G416" t="s">
        <v>109</v>
      </c>
      <c r="H416" t="s">
        <v>109</v>
      </c>
      <c r="I416" t="s">
        <v>109</v>
      </c>
      <c r="J416">
        <f>+AVERAGE(1,3)*7</f>
        <v>14</v>
      </c>
      <c r="K416" t="s">
        <v>281</v>
      </c>
      <c r="L416" t="s">
        <v>281</v>
      </c>
      <c r="M416" t="s">
        <v>281</v>
      </c>
      <c r="R416" t="s">
        <v>193</v>
      </c>
      <c r="S416" t="s">
        <v>174</v>
      </c>
      <c r="T416" t="s">
        <v>31</v>
      </c>
      <c r="U416" t="s">
        <v>211</v>
      </c>
      <c r="W416" s="1">
        <f>'[42]Lopez&amp;Nobel_1991_Fig2a'!B2</f>
        <v>1.1902439024390201E-7</v>
      </c>
      <c r="AA416" t="s">
        <v>51</v>
      </c>
      <c r="AB416" t="s">
        <v>285</v>
      </c>
    </row>
    <row r="417" spans="1:28" x14ac:dyDescent="0.35">
      <c r="A417" t="s">
        <v>157</v>
      </c>
      <c r="B417" t="s">
        <v>158</v>
      </c>
      <c r="C417" t="s">
        <v>159</v>
      </c>
      <c r="D417" t="s">
        <v>121</v>
      </c>
      <c r="E417" t="s">
        <v>108</v>
      </c>
      <c r="F417" t="s">
        <v>109</v>
      </c>
      <c r="G417" t="s">
        <v>109</v>
      </c>
      <c r="H417" t="s">
        <v>109</v>
      </c>
      <c r="I417" t="s">
        <v>109</v>
      </c>
      <c r="J417">
        <f>+AVERAGE(4,6)*7</f>
        <v>35</v>
      </c>
      <c r="K417" t="s">
        <v>281</v>
      </c>
      <c r="L417" t="s">
        <v>281</v>
      </c>
      <c r="M417" t="s">
        <v>281</v>
      </c>
      <c r="R417" t="s">
        <v>193</v>
      </c>
      <c r="S417" t="s">
        <v>174</v>
      </c>
      <c r="T417" t="s">
        <v>31</v>
      </c>
      <c r="U417" t="s">
        <v>211</v>
      </c>
      <c r="W417" s="1">
        <f>'[42]Lopez&amp;Nobel_1991_Fig2a'!B3</f>
        <v>1.9902439024390201E-7</v>
      </c>
      <c r="AA417" t="s">
        <v>51</v>
      </c>
      <c r="AB417" t="s">
        <v>285</v>
      </c>
    </row>
    <row r="418" spans="1:28" x14ac:dyDescent="0.35">
      <c r="A418" t="s">
        <v>157</v>
      </c>
      <c r="B418" t="s">
        <v>158</v>
      </c>
      <c r="C418" t="s">
        <v>159</v>
      </c>
      <c r="D418" t="s">
        <v>121</v>
      </c>
      <c r="E418" t="s">
        <v>108</v>
      </c>
      <c r="F418" t="s">
        <v>109</v>
      </c>
      <c r="G418" t="s">
        <v>109</v>
      </c>
      <c r="H418" t="s">
        <v>109</v>
      </c>
      <c r="I418" t="s">
        <v>109</v>
      </c>
      <c r="J418">
        <f>+AVERAGE(7,10)*7</f>
        <v>59.5</v>
      </c>
      <c r="K418" t="s">
        <v>281</v>
      </c>
      <c r="L418" t="s">
        <v>281</v>
      </c>
      <c r="M418" t="s">
        <v>281</v>
      </c>
      <c r="R418" t="s">
        <v>193</v>
      </c>
      <c r="S418" t="s">
        <v>174</v>
      </c>
      <c r="T418" t="s">
        <v>31</v>
      </c>
      <c r="U418" t="s">
        <v>211</v>
      </c>
      <c r="W418" s="1">
        <f>'[42]Lopez&amp;Nobel_1991_Fig2a'!B4</f>
        <v>2.6048780487804801E-7</v>
      </c>
      <c r="AA418" t="s">
        <v>51</v>
      </c>
      <c r="AB418" t="s">
        <v>285</v>
      </c>
    </row>
    <row r="419" spans="1:28" x14ac:dyDescent="0.35">
      <c r="A419" t="s">
        <v>157</v>
      </c>
      <c r="B419" t="s">
        <v>158</v>
      </c>
      <c r="C419" t="s">
        <v>159</v>
      </c>
      <c r="D419" t="s">
        <v>121</v>
      </c>
      <c r="E419" t="s">
        <v>108</v>
      </c>
      <c r="F419" t="s">
        <v>109</v>
      </c>
      <c r="G419" t="s">
        <v>109</v>
      </c>
      <c r="H419" t="s">
        <v>109</v>
      </c>
      <c r="I419" t="s">
        <v>109</v>
      </c>
      <c r="J419">
        <f>+AVERAGE(11,17)*7</f>
        <v>98</v>
      </c>
      <c r="K419" t="s">
        <v>281</v>
      </c>
      <c r="L419" t="s">
        <v>281</v>
      </c>
      <c r="M419" t="s">
        <v>281</v>
      </c>
      <c r="R419" t="s">
        <v>193</v>
      </c>
      <c r="S419" t="s">
        <v>174</v>
      </c>
      <c r="T419" t="s">
        <v>31</v>
      </c>
      <c r="U419" t="s">
        <v>211</v>
      </c>
      <c r="W419" s="1">
        <f>'[42]Lopez&amp;Nobel_1991_Fig2a'!B5</f>
        <v>3.8926829268292602E-7</v>
      </c>
      <c r="AA419" t="s">
        <v>51</v>
      </c>
      <c r="AB419" t="s">
        <v>285</v>
      </c>
    </row>
    <row r="420" spans="1:28" x14ac:dyDescent="0.35">
      <c r="A420" t="s">
        <v>157</v>
      </c>
      <c r="B420" t="s">
        <v>158</v>
      </c>
      <c r="C420" t="s">
        <v>159</v>
      </c>
      <c r="D420" t="s">
        <v>121</v>
      </c>
      <c r="E420" t="s">
        <v>108</v>
      </c>
      <c r="F420" t="s">
        <v>109</v>
      </c>
      <c r="G420" t="s">
        <v>109</v>
      </c>
      <c r="H420" t="s">
        <v>109</v>
      </c>
      <c r="I420" t="s">
        <v>109</v>
      </c>
      <c r="J420">
        <f>+AVERAGE(18,26)*7</f>
        <v>154</v>
      </c>
      <c r="K420" t="s">
        <v>281</v>
      </c>
      <c r="L420" t="s">
        <v>281</v>
      </c>
      <c r="M420" t="s">
        <v>281</v>
      </c>
      <c r="R420" t="s">
        <v>193</v>
      </c>
      <c r="S420" t="s">
        <v>174</v>
      </c>
      <c r="T420" t="s">
        <v>31</v>
      </c>
      <c r="U420" t="s">
        <v>211</v>
      </c>
      <c r="W420" s="1">
        <f>'[42]Lopez&amp;Nobel_1991_Fig2a'!B6</f>
        <v>3.4926829268292598E-7</v>
      </c>
      <c r="AA420" t="s">
        <v>51</v>
      </c>
      <c r="AB420" t="s">
        <v>285</v>
      </c>
    </row>
    <row r="421" spans="1:28" x14ac:dyDescent="0.35">
      <c r="A421" t="s">
        <v>157</v>
      </c>
      <c r="B421" t="s">
        <v>158</v>
      </c>
      <c r="C421" t="s">
        <v>159</v>
      </c>
      <c r="D421" t="s">
        <v>121</v>
      </c>
      <c r="E421" t="s">
        <v>108</v>
      </c>
      <c r="F421" t="s">
        <v>109</v>
      </c>
      <c r="G421" t="s">
        <v>109</v>
      </c>
      <c r="H421" t="s">
        <v>109</v>
      </c>
      <c r="I421" t="s">
        <v>109</v>
      </c>
      <c r="J421">
        <f>+AVERAGE(27,38)*7</f>
        <v>227.5</v>
      </c>
      <c r="K421" t="s">
        <v>281</v>
      </c>
      <c r="L421" t="s">
        <v>281</v>
      </c>
      <c r="M421" t="s">
        <v>281</v>
      </c>
      <c r="R421" t="s">
        <v>193</v>
      </c>
      <c r="S421" t="s">
        <v>174</v>
      </c>
      <c r="T421" t="s">
        <v>31</v>
      </c>
      <c r="U421" t="s">
        <v>211</v>
      </c>
      <c r="W421" s="1">
        <f>'[42]Lopez&amp;Nobel_1991_Fig2a'!B7</f>
        <v>3.2000000000000001E-7</v>
      </c>
      <c r="AA421" t="s">
        <v>51</v>
      </c>
      <c r="AB421" t="s">
        <v>285</v>
      </c>
    </row>
    <row r="422" spans="1:28" x14ac:dyDescent="0.35">
      <c r="A422" t="s">
        <v>157</v>
      </c>
      <c r="B422" t="s">
        <v>158</v>
      </c>
      <c r="C422" t="s">
        <v>159</v>
      </c>
      <c r="D422" t="s">
        <v>121</v>
      </c>
      <c r="E422" t="s">
        <v>108</v>
      </c>
      <c r="F422" t="s">
        <v>109</v>
      </c>
      <c r="G422" t="s">
        <v>109</v>
      </c>
      <c r="H422" t="s">
        <v>109</v>
      </c>
      <c r="I422" t="s">
        <v>109</v>
      </c>
      <c r="J422">
        <f>+AVERAGE(39,52)*7</f>
        <v>318.5</v>
      </c>
      <c r="K422" t="s">
        <v>281</v>
      </c>
      <c r="L422" t="s">
        <v>281</v>
      </c>
      <c r="M422" t="s">
        <v>281</v>
      </c>
      <c r="R422" t="s">
        <v>193</v>
      </c>
      <c r="S422" t="s">
        <v>174</v>
      </c>
      <c r="T422" t="s">
        <v>31</v>
      </c>
      <c r="U422" t="s">
        <v>211</v>
      </c>
      <c r="W422" s="1">
        <f>'[42]Lopez&amp;Nobel_1991_Fig2a'!B8</f>
        <v>2.4780487804877999E-7</v>
      </c>
      <c r="AA422" t="s">
        <v>51</v>
      </c>
      <c r="AB422" t="s">
        <v>285</v>
      </c>
    </row>
    <row r="423" spans="1:28" x14ac:dyDescent="0.35">
      <c r="A423" t="s">
        <v>157</v>
      </c>
      <c r="B423" t="s">
        <v>158</v>
      </c>
      <c r="C423" t="s">
        <v>159</v>
      </c>
      <c r="D423" t="s">
        <v>121</v>
      </c>
      <c r="E423" t="s">
        <v>108</v>
      </c>
      <c r="F423" t="s">
        <v>109</v>
      </c>
      <c r="G423" t="s">
        <v>109</v>
      </c>
      <c r="H423" t="s">
        <v>109</v>
      </c>
      <c r="I423" t="s">
        <v>109</v>
      </c>
      <c r="J423">
        <f>+AVERAGE(52,78)*7</f>
        <v>455</v>
      </c>
      <c r="K423" t="s">
        <v>281</v>
      </c>
      <c r="L423" t="s">
        <v>281</v>
      </c>
      <c r="M423" t="s">
        <v>281</v>
      </c>
      <c r="R423" t="s">
        <v>193</v>
      </c>
      <c r="S423" t="s">
        <v>174</v>
      </c>
      <c r="T423" t="s">
        <v>31</v>
      </c>
      <c r="U423" t="s">
        <v>211</v>
      </c>
      <c r="W423" s="1">
        <f>'[42]Lopez&amp;Nobel_1991_Fig2a'!B9</f>
        <v>1.9999999999999999E-7</v>
      </c>
      <c r="AA423" t="s">
        <v>51</v>
      </c>
      <c r="AB423" t="s">
        <v>285</v>
      </c>
    </row>
    <row r="424" spans="1:28" x14ac:dyDescent="0.35">
      <c r="A424" t="s">
        <v>157</v>
      </c>
      <c r="B424" t="s">
        <v>138</v>
      </c>
      <c r="C424" t="s">
        <v>120</v>
      </c>
      <c r="D424" t="s">
        <v>121</v>
      </c>
      <c r="E424" t="s">
        <v>108</v>
      </c>
      <c r="F424" t="s">
        <v>109</v>
      </c>
      <c r="G424" t="s">
        <v>109</v>
      </c>
      <c r="H424" t="s">
        <v>109</v>
      </c>
      <c r="I424" t="s">
        <v>109</v>
      </c>
      <c r="J424">
        <f>+AVERAGE(1,3)*7</f>
        <v>14</v>
      </c>
      <c r="K424" t="s">
        <v>281</v>
      </c>
      <c r="L424" t="s">
        <v>281</v>
      </c>
      <c r="M424" t="s">
        <v>281</v>
      </c>
      <c r="R424" t="s">
        <v>193</v>
      </c>
      <c r="S424" t="s">
        <v>174</v>
      </c>
      <c r="T424" t="s">
        <v>31</v>
      </c>
      <c r="U424" t="s">
        <v>211</v>
      </c>
      <c r="W424" s="1">
        <f>'[43]Lopez&amp;Nobel_1991_Fig2b'!B2</f>
        <v>9.8780487804878005E-8</v>
      </c>
      <c r="AA424" t="s">
        <v>51</v>
      </c>
      <c r="AB424" t="s">
        <v>285</v>
      </c>
    </row>
    <row r="425" spans="1:28" x14ac:dyDescent="0.35">
      <c r="A425" t="s">
        <v>157</v>
      </c>
      <c r="B425" t="s">
        <v>138</v>
      </c>
      <c r="C425" t="s">
        <v>120</v>
      </c>
      <c r="D425" t="s">
        <v>121</v>
      </c>
      <c r="E425" t="s">
        <v>108</v>
      </c>
      <c r="F425" t="s">
        <v>109</v>
      </c>
      <c r="G425" t="s">
        <v>109</v>
      </c>
      <c r="H425" t="s">
        <v>109</v>
      </c>
      <c r="I425" t="s">
        <v>109</v>
      </c>
      <c r="J425">
        <f>+AVERAGE(4,6)*7</f>
        <v>35</v>
      </c>
      <c r="K425" t="s">
        <v>281</v>
      </c>
      <c r="L425" t="s">
        <v>281</v>
      </c>
      <c r="M425" t="s">
        <v>281</v>
      </c>
      <c r="R425" t="s">
        <v>193</v>
      </c>
      <c r="S425" t="s">
        <v>174</v>
      </c>
      <c r="T425" t="s">
        <v>31</v>
      </c>
      <c r="U425" t="s">
        <v>211</v>
      </c>
      <c r="W425" s="1">
        <f>'[43]Lopez&amp;Nobel_1991_Fig2b'!B3</f>
        <v>2.8902439024390199E-7</v>
      </c>
      <c r="AA425" t="s">
        <v>51</v>
      </c>
      <c r="AB425" t="s">
        <v>285</v>
      </c>
    </row>
    <row r="426" spans="1:28" x14ac:dyDescent="0.35">
      <c r="A426" t="s">
        <v>157</v>
      </c>
      <c r="B426" t="s">
        <v>138</v>
      </c>
      <c r="C426" t="s">
        <v>120</v>
      </c>
      <c r="D426" t="s">
        <v>121</v>
      </c>
      <c r="E426" t="s">
        <v>108</v>
      </c>
      <c r="F426" t="s">
        <v>109</v>
      </c>
      <c r="G426" t="s">
        <v>109</v>
      </c>
      <c r="H426" t="s">
        <v>109</v>
      </c>
      <c r="I426" t="s">
        <v>109</v>
      </c>
      <c r="J426">
        <f>+AVERAGE(7,10)*7</f>
        <v>59.5</v>
      </c>
      <c r="K426" t="s">
        <v>281</v>
      </c>
      <c r="L426" t="s">
        <v>281</v>
      </c>
      <c r="M426" t="s">
        <v>281</v>
      </c>
      <c r="R426" t="s">
        <v>193</v>
      </c>
      <c r="S426" t="s">
        <v>174</v>
      </c>
      <c r="T426" t="s">
        <v>31</v>
      </c>
      <c r="U426" t="s">
        <v>211</v>
      </c>
      <c r="W426" s="1">
        <f>'[43]Lopez&amp;Nobel_1991_Fig2b'!B4</f>
        <v>3.28048780487804E-7</v>
      </c>
      <c r="AA426" t="s">
        <v>51</v>
      </c>
      <c r="AB426" t="s">
        <v>285</v>
      </c>
    </row>
    <row r="427" spans="1:28" x14ac:dyDescent="0.35">
      <c r="A427" t="s">
        <v>157</v>
      </c>
      <c r="B427" t="s">
        <v>138</v>
      </c>
      <c r="C427" t="s">
        <v>120</v>
      </c>
      <c r="D427" t="s">
        <v>121</v>
      </c>
      <c r="E427" t="s">
        <v>108</v>
      </c>
      <c r="F427" t="s">
        <v>109</v>
      </c>
      <c r="G427" t="s">
        <v>109</v>
      </c>
      <c r="H427" t="s">
        <v>109</v>
      </c>
      <c r="I427" t="s">
        <v>109</v>
      </c>
      <c r="J427">
        <f>+AVERAGE(11,17)*7</f>
        <v>98</v>
      </c>
      <c r="K427" t="s">
        <v>281</v>
      </c>
      <c r="L427" t="s">
        <v>281</v>
      </c>
      <c r="M427" t="s">
        <v>281</v>
      </c>
      <c r="R427" t="s">
        <v>193</v>
      </c>
      <c r="S427" t="s">
        <v>174</v>
      </c>
      <c r="T427" t="s">
        <v>31</v>
      </c>
      <c r="U427" t="s">
        <v>211</v>
      </c>
      <c r="W427" s="1">
        <f>'[43]Lopez&amp;Nobel_1991_Fig2b'!B5</f>
        <v>5.1585365853658503E-7</v>
      </c>
      <c r="AA427" t="s">
        <v>51</v>
      </c>
      <c r="AB427" t="s">
        <v>285</v>
      </c>
    </row>
    <row r="428" spans="1:28" x14ac:dyDescent="0.35">
      <c r="A428" t="s">
        <v>157</v>
      </c>
      <c r="B428" t="s">
        <v>138</v>
      </c>
      <c r="C428" t="s">
        <v>120</v>
      </c>
      <c r="D428" t="s">
        <v>121</v>
      </c>
      <c r="E428" t="s">
        <v>108</v>
      </c>
      <c r="F428" t="s">
        <v>109</v>
      </c>
      <c r="G428" t="s">
        <v>109</v>
      </c>
      <c r="H428" t="s">
        <v>109</v>
      </c>
      <c r="I428" t="s">
        <v>109</v>
      </c>
      <c r="J428">
        <f>+AVERAGE(18,26)*7</f>
        <v>154</v>
      </c>
      <c r="K428" t="s">
        <v>281</v>
      </c>
      <c r="L428" t="s">
        <v>281</v>
      </c>
      <c r="M428" t="s">
        <v>281</v>
      </c>
      <c r="R428" t="s">
        <v>193</v>
      </c>
      <c r="S428" t="s">
        <v>174</v>
      </c>
      <c r="T428" t="s">
        <v>31</v>
      </c>
      <c r="U428" t="s">
        <v>211</v>
      </c>
      <c r="W428" s="1">
        <f>'[43]Lopez&amp;Nobel_1991_Fig2b'!B6</f>
        <v>4.7195121951219502E-7</v>
      </c>
      <c r="AA428" t="s">
        <v>51</v>
      </c>
      <c r="AB428" t="s">
        <v>285</v>
      </c>
    </row>
    <row r="429" spans="1:28" x14ac:dyDescent="0.35">
      <c r="A429" t="s">
        <v>157</v>
      </c>
      <c r="B429" t="s">
        <v>138</v>
      </c>
      <c r="C429" t="s">
        <v>120</v>
      </c>
      <c r="D429" t="s">
        <v>121</v>
      </c>
      <c r="E429" t="s">
        <v>108</v>
      </c>
      <c r="F429" t="s">
        <v>109</v>
      </c>
      <c r="G429" t="s">
        <v>109</v>
      </c>
      <c r="H429" t="s">
        <v>109</v>
      </c>
      <c r="I429" t="s">
        <v>109</v>
      </c>
      <c r="J429">
        <f>+AVERAGE(27,38)*7</f>
        <v>227.5</v>
      </c>
      <c r="K429" t="s">
        <v>281</v>
      </c>
      <c r="L429" t="s">
        <v>281</v>
      </c>
      <c r="M429" t="s">
        <v>281</v>
      </c>
      <c r="R429" t="s">
        <v>193</v>
      </c>
      <c r="S429" t="s">
        <v>174</v>
      </c>
      <c r="T429" t="s">
        <v>31</v>
      </c>
      <c r="U429" t="s">
        <v>211</v>
      </c>
      <c r="W429" s="1">
        <f>'[43]Lopez&amp;Nobel_1991_Fig2b'!B7</f>
        <v>2.58536585365853E-7</v>
      </c>
      <c r="AA429" t="s">
        <v>51</v>
      </c>
      <c r="AB429" t="s">
        <v>285</v>
      </c>
    </row>
    <row r="430" spans="1:28" x14ac:dyDescent="0.35">
      <c r="A430" t="s">
        <v>157</v>
      </c>
      <c r="B430" t="s">
        <v>138</v>
      </c>
      <c r="C430" t="s">
        <v>120</v>
      </c>
      <c r="D430" t="s">
        <v>121</v>
      </c>
      <c r="E430" t="s">
        <v>108</v>
      </c>
      <c r="F430" t="s">
        <v>109</v>
      </c>
      <c r="G430" t="s">
        <v>109</v>
      </c>
      <c r="H430" t="s">
        <v>109</v>
      </c>
      <c r="I430" t="s">
        <v>109</v>
      </c>
      <c r="J430">
        <f>+AVERAGE(39,52)*7</f>
        <v>318.5</v>
      </c>
      <c r="K430" t="s">
        <v>281</v>
      </c>
      <c r="L430" t="s">
        <v>281</v>
      </c>
      <c r="M430" t="s">
        <v>281</v>
      </c>
      <c r="R430" t="s">
        <v>193</v>
      </c>
      <c r="S430" t="s">
        <v>174</v>
      </c>
      <c r="T430" t="s">
        <v>31</v>
      </c>
      <c r="U430" t="s">
        <v>211</v>
      </c>
      <c r="W430" s="1">
        <f>'[43]Lopez&amp;Nobel_1991_Fig2b'!B8</f>
        <v>1.08536585365853E-7</v>
      </c>
      <c r="AA430" t="s">
        <v>51</v>
      </c>
      <c r="AB430" t="s">
        <v>285</v>
      </c>
    </row>
    <row r="431" spans="1:28" x14ac:dyDescent="0.35">
      <c r="A431" t="s">
        <v>160</v>
      </c>
      <c r="B431" t="s">
        <v>19</v>
      </c>
      <c r="C431" t="s">
        <v>20</v>
      </c>
      <c r="D431" t="s">
        <v>11</v>
      </c>
      <c r="E431" t="s">
        <v>14</v>
      </c>
      <c r="F431" t="s">
        <v>15</v>
      </c>
      <c r="G431" t="s">
        <v>15</v>
      </c>
      <c r="H431" t="s">
        <v>15</v>
      </c>
      <c r="I431" t="s">
        <v>242</v>
      </c>
      <c r="J431">
        <f>+AVERAGE(2,13)</f>
        <v>7.5</v>
      </c>
      <c r="K431" t="s">
        <v>201</v>
      </c>
      <c r="L431" t="s">
        <v>16</v>
      </c>
      <c r="M431" t="str">
        <f t="shared" ref="M431:M460" si="71">+IF(L431="Control","Control","Stress")</f>
        <v>Control</v>
      </c>
      <c r="N431" t="s">
        <v>16</v>
      </c>
      <c r="O431" t="str">
        <f t="shared" ref="O431:O458" si="72">+IF(N431="Control", "Control", "Stress")</f>
        <v>Control</v>
      </c>
      <c r="R431" t="s">
        <v>194</v>
      </c>
      <c r="S431" t="s">
        <v>112</v>
      </c>
      <c r="T431" t="s">
        <v>26</v>
      </c>
      <c r="U431" t="s">
        <v>211</v>
      </c>
      <c r="W431" s="1">
        <v>1.1000000000000001E-7</v>
      </c>
      <c r="Z431">
        <v>1.1000000000000001</v>
      </c>
      <c r="AA431" t="s">
        <v>21</v>
      </c>
      <c r="AB431" t="s">
        <v>285</v>
      </c>
    </row>
    <row r="432" spans="1:28" x14ac:dyDescent="0.35">
      <c r="A432" t="s">
        <v>160</v>
      </c>
      <c r="B432" t="s">
        <v>19</v>
      </c>
      <c r="C432" t="s">
        <v>20</v>
      </c>
      <c r="D432" t="s">
        <v>11</v>
      </c>
      <c r="E432" t="s">
        <v>14</v>
      </c>
      <c r="F432" t="s">
        <v>15</v>
      </c>
      <c r="G432" t="s">
        <v>15</v>
      </c>
      <c r="H432" t="s">
        <v>15</v>
      </c>
      <c r="I432" t="s">
        <v>242</v>
      </c>
      <c r="J432">
        <f t="shared" ref="J432:J454" si="73">+AVERAGE(2,13)</f>
        <v>7.5</v>
      </c>
      <c r="K432" t="s">
        <v>201</v>
      </c>
      <c r="L432" t="s">
        <v>16</v>
      </c>
      <c r="M432" t="str">
        <f t="shared" si="71"/>
        <v>Control</v>
      </c>
      <c r="N432" t="s">
        <v>16</v>
      </c>
      <c r="O432" t="str">
        <f t="shared" si="72"/>
        <v>Control</v>
      </c>
      <c r="R432" t="s">
        <v>193</v>
      </c>
      <c r="S432" t="s">
        <v>112</v>
      </c>
      <c r="T432" t="s">
        <v>26</v>
      </c>
      <c r="U432" t="s">
        <v>211</v>
      </c>
      <c r="W432" s="1">
        <v>2.7999999999999997E-7</v>
      </c>
      <c r="Z432">
        <v>1.1000000000000001</v>
      </c>
      <c r="AA432" t="s">
        <v>21</v>
      </c>
      <c r="AB432" t="s">
        <v>285</v>
      </c>
    </row>
    <row r="433" spans="1:28" x14ac:dyDescent="0.35">
      <c r="A433" t="s">
        <v>160</v>
      </c>
      <c r="B433" t="s">
        <v>19</v>
      </c>
      <c r="C433" t="s">
        <v>20</v>
      </c>
      <c r="D433" t="s">
        <v>11</v>
      </c>
      <c r="E433" t="s">
        <v>14</v>
      </c>
      <c r="F433" t="s">
        <v>15</v>
      </c>
      <c r="G433" t="s">
        <v>15</v>
      </c>
      <c r="H433" t="s">
        <v>15</v>
      </c>
      <c r="I433" t="s">
        <v>242</v>
      </c>
      <c r="J433">
        <f t="shared" si="73"/>
        <v>7.5</v>
      </c>
      <c r="K433" t="s">
        <v>201</v>
      </c>
      <c r="L433" t="s">
        <v>16</v>
      </c>
      <c r="M433" t="str">
        <f t="shared" si="71"/>
        <v>Control</v>
      </c>
      <c r="N433" t="s">
        <v>16</v>
      </c>
      <c r="O433" t="str">
        <f t="shared" si="72"/>
        <v>Control</v>
      </c>
      <c r="R433" t="s">
        <v>195</v>
      </c>
      <c r="S433" t="s">
        <v>112</v>
      </c>
      <c r="T433" t="s">
        <v>26</v>
      </c>
      <c r="U433" t="s">
        <v>211</v>
      </c>
      <c r="W433" s="1">
        <v>6.1999999999999999E-7</v>
      </c>
      <c r="Z433">
        <v>1.1000000000000001</v>
      </c>
      <c r="AA433" t="s">
        <v>21</v>
      </c>
      <c r="AB433" t="s">
        <v>285</v>
      </c>
    </row>
    <row r="434" spans="1:28" x14ac:dyDescent="0.35">
      <c r="A434" t="s">
        <v>160</v>
      </c>
      <c r="B434" t="s">
        <v>19</v>
      </c>
      <c r="C434" t="s">
        <v>20</v>
      </c>
      <c r="D434" t="s">
        <v>11</v>
      </c>
      <c r="E434" t="s">
        <v>14</v>
      </c>
      <c r="F434" t="s">
        <v>15</v>
      </c>
      <c r="G434" t="s">
        <v>15</v>
      </c>
      <c r="H434" t="s">
        <v>15</v>
      </c>
      <c r="I434" t="s">
        <v>242</v>
      </c>
      <c r="J434">
        <f t="shared" si="73"/>
        <v>7.5</v>
      </c>
      <c r="K434" t="s">
        <v>201</v>
      </c>
      <c r="L434" t="s">
        <v>45</v>
      </c>
      <c r="M434" t="str">
        <f t="shared" si="71"/>
        <v>Stress</v>
      </c>
      <c r="N434" t="s">
        <v>16</v>
      </c>
      <c r="O434" t="str">
        <f t="shared" si="72"/>
        <v>Control</v>
      </c>
      <c r="R434" t="s">
        <v>194</v>
      </c>
      <c r="S434" t="s">
        <v>112</v>
      </c>
      <c r="T434" t="s">
        <v>26</v>
      </c>
      <c r="U434" t="s">
        <v>211</v>
      </c>
      <c r="W434" s="1">
        <v>1.1999999999999999E-7</v>
      </c>
      <c r="Z434">
        <v>1</v>
      </c>
      <c r="AA434" t="s">
        <v>21</v>
      </c>
      <c r="AB434" t="s">
        <v>285</v>
      </c>
    </row>
    <row r="435" spans="1:28" x14ac:dyDescent="0.35">
      <c r="A435" t="s">
        <v>160</v>
      </c>
      <c r="B435" t="s">
        <v>19</v>
      </c>
      <c r="C435" t="s">
        <v>20</v>
      </c>
      <c r="D435" t="s">
        <v>11</v>
      </c>
      <c r="E435" t="s">
        <v>14</v>
      </c>
      <c r="F435" t="s">
        <v>15</v>
      </c>
      <c r="G435" t="s">
        <v>15</v>
      </c>
      <c r="H435" t="s">
        <v>15</v>
      </c>
      <c r="I435" t="s">
        <v>242</v>
      </c>
      <c r="J435">
        <f t="shared" si="73"/>
        <v>7.5</v>
      </c>
      <c r="K435" t="s">
        <v>201</v>
      </c>
      <c r="L435" t="s">
        <v>45</v>
      </c>
      <c r="M435" t="str">
        <f t="shared" si="71"/>
        <v>Stress</v>
      </c>
      <c r="N435" t="s">
        <v>16</v>
      </c>
      <c r="O435" t="str">
        <f t="shared" si="72"/>
        <v>Control</v>
      </c>
      <c r="R435" t="s">
        <v>193</v>
      </c>
      <c r="S435" t="s">
        <v>112</v>
      </c>
      <c r="T435" t="s">
        <v>26</v>
      </c>
      <c r="U435" t="s">
        <v>211</v>
      </c>
      <c r="W435" s="1">
        <v>1.6999999999999999E-7</v>
      </c>
      <c r="Z435">
        <v>1</v>
      </c>
      <c r="AA435" t="s">
        <v>21</v>
      </c>
      <c r="AB435" t="s">
        <v>285</v>
      </c>
    </row>
    <row r="436" spans="1:28" x14ac:dyDescent="0.35">
      <c r="A436" t="s">
        <v>160</v>
      </c>
      <c r="B436" t="s">
        <v>19</v>
      </c>
      <c r="C436" t="s">
        <v>20</v>
      </c>
      <c r="D436" t="s">
        <v>11</v>
      </c>
      <c r="E436" t="s">
        <v>14</v>
      </c>
      <c r="F436" t="s">
        <v>15</v>
      </c>
      <c r="G436" t="s">
        <v>15</v>
      </c>
      <c r="H436" t="s">
        <v>15</v>
      </c>
      <c r="I436" t="s">
        <v>242</v>
      </c>
      <c r="J436">
        <f t="shared" si="73"/>
        <v>7.5</v>
      </c>
      <c r="K436" t="s">
        <v>201</v>
      </c>
      <c r="L436" t="s">
        <v>45</v>
      </c>
      <c r="M436" t="str">
        <f t="shared" si="71"/>
        <v>Stress</v>
      </c>
      <c r="N436" t="s">
        <v>16</v>
      </c>
      <c r="O436" t="str">
        <f t="shared" si="72"/>
        <v>Control</v>
      </c>
      <c r="R436" t="s">
        <v>195</v>
      </c>
      <c r="S436" t="s">
        <v>112</v>
      </c>
      <c r="T436" t="s">
        <v>26</v>
      </c>
      <c r="U436" t="s">
        <v>211</v>
      </c>
      <c r="W436" s="1">
        <v>2.2000000000000001E-7</v>
      </c>
      <c r="Z436">
        <v>1</v>
      </c>
      <c r="AA436" t="s">
        <v>21</v>
      </c>
      <c r="AB436" t="s">
        <v>285</v>
      </c>
    </row>
    <row r="437" spans="1:28" x14ac:dyDescent="0.35">
      <c r="A437" t="s">
        <v>160</v>
      </c>
      <c r="B437" t="s">
        <v>19</v>
      </c>
      <c r="C437" t="s">
        <v>20</v>
      </c>
      <c r="D437" t="s">
        <v>11</v>
      </c>
      <c r="E437" t="s">
        <v>14</v>
      </c>
      <c r="F437" t="s">
        <v>15</v>
      </c>
      <c r="G437" t="s">
        <v>15</v>
      </c>
      <c r="H437" t="s">
        <v>15</v>
      </c>
      <c r="I437" t="s">
        <v>242</v>
      </c>
      <c r="J437">
        <f t="shared" si="73"/>
        <v>7.5</v>
      </c>
      <c r="K437" t="s">
        <v>201</v>
      </c>
      <c r="L437" t="s">
        <v>16</v>
      </c>
      <c r="M437" t="str">
        <f t="shared" si="71"/>
        <v>Control</v>
      </c>
      <c r="N437" t="s">
        <v>237</v>
      </c>
      <c r="O437" t="str">
        <f t="shared" si="72"/>
        <v>Stress</v>
      </c>
      <c r="R437" t="s">
        <v>194</v>
      </c>
      <c r="S437" t="s">
        <v>112</v>
      </c>
      <c r="T437" t="s">
        <v>26</v>
      </c>
      <c r="U437" t="s">
        <v>211</v>
      </c>
      <c r="W437" s="1">
        <v>1.4999999999999999E-7</v>
      </c>
      <c r="Z437">
        <v>0.92</v>
      </c>
      <c r="AA437" t="s">
        <v>21</v>
      </c>
      <c r="AB437" t="s">
        <v>285</v>
      </c>
    </row>
    <row r="438" spans="1:28" x14ac:dyDescent="0.35">
      <c r="A438" t="s">
        <v>160</v>
      </c>
      <c r="B438" t="s">
        <v>19</v>
      </c>
      <c r="C438" t="s">
        <v>20</v>
      </c>
      <c r="D438" t="s">
        <v>11</v>
      </c>
      <c r="E438" t="s">
        <v>14</v>
      </c>
      <c r="F438" t="s">
        <v>15</v>
      </c>
      <c r="G438" t="s">
        <v>15</v>
      </c>
      <c r="H438" t="s">
        <v>15</v>
      </c>
      <c r="I438" t="s">
        <v>242</v>
      </c>
      <c r="J438">
        <f t="shared" si="73"/>
        <v>7.5</v>
      </c>
      <c r="K438" t="s">
        <v>201</v>
      </c>
      <c r="L438" t="s">
        <v>16</v>
      </c>
      <c r="M438" t="str">
        <f t="shared" si="71"/>
        <v>Control</v>
      </c>
      <c r="N438" t="s">
        <v>237</v>
      </c>
      <c r="O438" t="str">
        <f t="shared" si="72"/>
        <v>Stress</v>
      </c>
      <c r="R438" t="s">
        <v>193</v>
      </c>
      <c r="S438" t="s">
        <v>112</v>
      </c>
      <c r="T438" t="s">
        <v>26</v>
      </c>
      <c r="U438" t="s">
        <v>211</v>
      </c>
      <c r="W438" s="1">
        <v>2.7999999999999997E-7</v>
      </c>
      <c r="Z438">
        <v>0.92</v>
      </c>
      <c r="AA438" t="s">
        <v>21</v>
      </c>
      <c r="AB438" t="s">
        <v>285</v>
      </c>
    </row>
    <row r="439" spans="1:28" x14ac:dyDescent="0.35">
      <c r="A439" t="s">
        <v>160</v>
      </c>
      <c r="B439" t="s">
        <v>19</v>
      </c>
      <c r="C439" t="s">
        <v>20</v>
      </c>
      <c r="D439" t="s">
        <v>11</v>
      </c>
      <c r="E439" t="s">
        <v>14</v>
      </c>
      <c r="F439" t="s">
        <v>15</v>
      </c>
      <c r="G439" t="s">
        <v>15</v>
      </c>
      <c r="H439" t="s">
        <v>15</v>
      </c>
      <c r="I439" t="s">
        <v>242</v>
      </c>
      <c r="J439">
        <f t="shared" si="73"/>
        <v>7.5</v>
      </c>
      <c r="K439" t="s">
        <v>201</v>
      </c>
      <c r="L439" t="s">
        <v>16</v>
      </c>
      <c r="M439" t="str">
        <f t="shared" si="71"/>
        <v>Control</v>
      </c>
      <c r="N439" t="s">
        <v>237</v>
      </c>
      <c r="O439" t="str">
        <f t="shared" si="72"/>
        <v>Stress</v>
      </c>
      <c r="R439" t="s">
        <v>195</v>
      </c>
      <c r="S439" t="s">
        <v>112</v>
      </c>
      <c r="T439" t="s">
        <v>26</v>
      </c>
      <c r="U439" t="s">
        <v>211</v>
      </c>
      <c r="W439" s="1">
        <v>5.9999999999999997E-7</v>
      </c>
      <c r="Z439">
        <v>0.92</v>
      </c>
      <c r="AA439" t="s">
        <v>21</v>
      </c>
      <c r="AB439" t="s">
        <v>285</v>
      </c>
    </row>
    <row r="440" spans="1:28" x14ac:dyDescent="0.35">
      <c r="A440" t="s">
        <v>160</v>
      </c>
      <c r="B440" t="s">
        <v>19</v>
      </c>
      <c r="C440" t="s">
        <v>20</v>
      </c>
      <c r="D440" t="s">
        <v>11</v>
      </c>
      <c r="E440" t="s">
        <v>14</v>
      </c>
      <c r="F440" t="s">
        <v>15</v>
      </c>
      <c r="G440" t="s">
        <v>15</v>
      </c>
      <c r="H440" t="s">
        <v>15</v>
      </c>
      <c r="I440" t="s">
        <v>242</v>
      </c>
      <c r="J440">
        <f t="shared" si="73"/>
        <v>7.5</v>
      </c>
      <c r="K440" t="s">
        <v>201</v>
      </c>
      <c r="L440" t="s">
        <v>45</v>
      </c>
      <c r="M440" t="str">
        <f t="shared" si="71"/>
        <v>Stress</v>
      </c>
      <c r="N440" t="s">
        <v>237</v>
      </c>
      <c r="O440" t="str">
        <f t="shared" si="72"/>
        <v>Stress</v>
      </c>
      <c r="R440" t="s">
        <v>194</v>
      </c>
      <c r="S440" t="s">
        <v>112</v>
      </c>
      <c r="T440" t="s">
        <v>26</v>
      </c>
      <c r="U440" t="s">
        <v>211</v>
      </c>
      <c r="W440" s="1">
        <v>1.8E-7</v>
      </c>
      <c r="Z440">
        <v>0.88</v>
      </c>
      <c r="AA440" t="s">
        <v>21</v>
      </c>
      <c r="AB440" t="s">
        <v>285</v>
      </c>
    </row>
    <row r="441" spans="1:28" x14ac:dyDescent="0.35">
      <c r="A441" t="s">
        <v>160</v>
      </c>
      <c r="B441" t="s">
        <v>19</v>
      </c>
      <c r="C441" t="s">
        <v>20</v>
      </c>
      <c r="D441" t="s">
        <v>11</v>
      </c>
      <c r="E441" t="s">
        <v>14</v>
      </c>
      <c r="F441" t="s">
        <v>15</v>
      </c>
      <c r="G441" t="s">
        <v>15</v>
      </c>
      <c r="H441" t="s">
        <v>15</v>
      </c>
      <c r="I441" t="s">
        <v>242</v>
      </c>
      <c r="J441">
        <f t="shared" si="73"/>
        <v>7.5</v>
      </c>
      <c r="K441" t="s">
        <v>201</v>
      </c>
      <c r="L441" t="s">
        <v>45</v>
      </c>
      <c r="M441" t="str">
        <f t="shared" si="71"/>
        <v>Stress</v>
      </c>
      <c r="N441" t="s">
        <v>237</v>
      </c>
      <c r="O441" t="str">
        <f t="shared" si="72"/>
        <v>Stress</v>
      </c>
      <c r="R441" t="s">
        <v>193</v>
      </c>
      <c r="S441" t="s">
        <v>112</v>
      </c>
      <c r="T441" t="s">
        <v>26</v>
      </c>
      <c r="U441" t="s">
        <v>211</v>
      </c>
      <c r="W441" s="1">
        <v>3.3999999999999997E-7</v>
      </c>
      <c r="Z441">
        <v>0.88</v>
      </c>
      <c r="AA441" t="s">
        <v>21</v>
      </c>
      <c r="AB441" t="s">
        <v>285</v>
      </c>
    </row>
    <row r="442" spans="1:28" x14ac:dyDescent="0.35">
      <c r="A442" t="s">
        <v>160</v>
      </c>
      <c r="B442" t="s">
        <v>19</v>
      </c>
      <c r="C442" t="s">
        <v>20</v>
      </c>
      <c r="D442" t="s">
        <v>11</v>
      </c>
      <c r="E442" t="s">
        <v>14</v>
      </c>
      <c r="F442" t="s">
        <v>15</v>
      </c>
      <c r="G442" t="s">
        <v>15</v>
      </c>
      <c r="H442" t="s">
        <v>15</v>
      </c>
      <c r="I442" t="s">
        <v>242</v>
      </c>
      <c r="J442">
        <f t="shared" si="73"/>
        <v>7.5</v>
      </c>
      <c r="K442" t="s">
        <v>201</v>
      </c>
      <c r="L442" t="s">
        <v>45</v>
      </c>
      <c r="M442" t="str">
        <f t="shared" si="71"/>
        <v>Stress</v>
      </c>
      <c r="N442" t="s">
        <v>237</v>
      </c>
      <c r="O442" t="str">
        <f t="shared" si="72"/>
        <v>Stress</v>
      </c>
      <c r="R442" t="s">
        <v>195</v>
      </c>
      <c r="S442" t="s">
        <v>112</v>
      </c>
      <c r="T442" t="s">
        <v>26</v>
      </c>
      <c r="U442" t="s">
        <v>211</v>
      </c>
      <c r="W442" s="1">
        <v>4.4000000000000002E-7</v>
      </c>
      <c r="Z442">
        <v>0.88</v>
      </c>
      <c r="AA442" t="s">
        <v>21</v>
      </c>
      <c r="AB442" t="s">
        <v>285</v>
      </c>
    </row>
    <row r="443" spans="1:28" x14ac:dyDescent="0.35">
      <c r="A443" t="s">
        <v>160</v>
      </c>
      <c r="B443" t="s">
        <v>19</v>
      </c>
      <c r="C443" t="s">
        <v>20</v>
      </c>
      <c r="D443" t="s">
        <v>11</v>
      </c>
      <c r="E443" t="s">
        <v>14</v>
      </c>
      <c r="F443" t="s">
        <v>15</v>
      </c>
      <c r="G443" t="s">
        <v>15</v>
      </c>
      <c r="H443" t="s">
        <v>15</v>
      </c>
      <c r="I443" t="s">
        <v>242</v>
      </c>
      <c r="J443">
        <f t="shared" si="73"/>
        <v>7.5</v>
      </c>
      <c r="K443" t="s">
        <v>201</v>
      </c>
      <c r="L443" t="s">
        <v>16</v>
      </c>
      <c r="M443" t="str">
        <f t="shared" si="71"/>
        <v>Control</v>
      </c>
      <c r="N443" t="s">
        <v>16</v>
      </c>
      <c r="O443" t="str">
        <f t="shared" si="72"/>
        <v>Control</v>
      </c>
      <c r="R443" t="s">
        <v>194</v>
      </c>
      <c r="S443" t="s">
        <v>112</v>
      </c>
      <c r="T443" t="s">
        <v>26</v>
      </c>
      <c r="U443" t="s">
        <v>212</v>
      </c>
      <c r="W443" s="1">
        <v>1.8999999999999998E-8</v>
      </c>
      <c r="Z443">
        <v>1.1000000000000001</v>
      </c>
      <c r="AA443" t="s">
        <v>21</v>
      </c>
      <c r="AB443" t="s">
        <v>285</v>
      </c>
    </row>
    <row r="444" spans="1:28" x14ac:dyDescent="0.35">
      <c r="A444" t="s">
        <v>160</v>
      </c>
      <c r="B444" t="s">
        <v>19</v>
      </c>
      <c r="C444" t="s">
        <v>20</v>
      </c>
      <c r="D444" t="s">
        <v>11</v>
      </c>
      <c r="E444" t="s">
        <v>14</v>
      </c>
      <c r="F444" t="s">
        <v>15</v>
      </c>
      <c r="G444" t="s">
        <v>15</v>
      </c>
      <c r="H444" t="s">
        <v>15</v>
      </c>
      <c r="I444" t="s">
        <v>242</v>
      </c>
      <c r="J444">
        <f t="shared" si="73"/>
        <v>7.5</v>
      </c>
      <c r="K444" t="s">
        <v>201</v>
      </c>
      <c r="L444" t="s">
        <v>16</v>
      </c>
      <c r="M444" t="str">
        <f t="shared" si="71"/>
        <v>Control</v>
      </c>
      <c r="N444" t="s">
        <v>16</v>
      </c>
      <c r="O444" t="str">
        <f t="shared" si="72"/>
        <v>Control</v>
      </c>
      <c r="R444" t="s">
        <v>193</v>
      </c>
      <c r="S444" t="s">
        <v>112</v>
      </c>
      <c r="T444" t="s">
        <v>26</v>
      </c>
      <c r="U444" t="s">
        <v>212</v>
      </c>
      <c r="W444" s="1">
        <v>5.5000000000000003E-8</v>
      </c>
      <c r="Z444">
        <v>1.1000000000000001</v>
      </c>
      <c r="AA444" t="s">
        <v>21</v>
      </c>
      <c r="AB444" t="s">
        <v>285</v>
      </c>
    </row>
    <row r="445" spans="1:28" x14ac:dyDescent="0.35">
      <c r="A445" t="s">
        <v>160</v>
      </c>
      <c r="B445" t="s">
        <v>19</v>
      </c>
      <c r="C445" t="s">
        <v>20</v>
      </c>
      <c r="D445" t="s">
        <v>11</v>
      </c>
      <c r="E445" t="s">
        <v>14</v>
      </c>
      <c r="F445" t="s">
        <v>15</v>
      </c>
      <c r="G445" t="s">
        <v>15</v>
      </c>
      <c r="H445" t="s">
        <v>15</v>
      </c>
      <c r="I445" t="s">
        <v>242</v>
      </c>
      <c r="J445">
        <f t="shared" si="73"/>
        <v>7.5</v>
      </c>
      <c r="K445" t="s">
        <v>201</v>
      </c>
      <c r="L445" t="s">
        <v>16</v>
      </c>
      <c r="M445" t="str">
        <f t="shared" si="71"/>
        <v>Control</v>
      </c>
      <c r="N445" t="s">
        <v>16</v>
      </c>
      <c r="O445" t="str">
        <f t="shared" si="72"/>
        <v>Control</v>
      </c>
      <c r="R445" t="s">
        <v>195</v>
      </c>
      <c r="S445" t="s">
        <v>112</v>
      </c>
      <c r="T445" t="s">
        <v>26</v>
      </c>
      <c r="U445" t="s">
        <v>212</v>
      </c>
      <c r="W445" s="1">
        <v>1.03E-7</v>
      </c>
      <c r="Z445">
        <v>1.1000000000000001</v>
      </c>
      <c r="AA445" t="s">
        <v>21</v>
      </c>
      <c r="AB445" t="s">
        <v>285</v>
      </c>
    </row>
    <row r="446" spans="1:28" x14ac:dyDescent="0.35">
      <c r="A446" t="s">
        <v>160</v>
      </c>
      <c r="B446" t="s">
        <v>19</v>
      </c>
      <c r="C446" t="s">
        <v>20</v>
      </c>
      <c r="D446" t="s">
        <v>11</v>
      </c>
      <c r="E446" t="s">
        <v>14</v>
      </c>
      <c r="F446" t="s">
        <v>15</v>
      </c>
      <c r="G446" t="s">
        <v>15</v>
      </c>
      <c r="H446" t="s">
        <v>15</v>
      </c>
      <c r="I446" t="s">
        <v>242</v>
      </c>
      <c r="J446">
        <f t="shared" si="73"/>
        <v>7.5</v>
      </c>
      <c r="K446" t="s">
        <v>201</v>
      </c>
      <c r="L446" t="s">
        <v>45</v>
      </c>
      <c r="M446" t="str">
        <f t="shared" si="71"/>
        <v>Stress</v>
      </c>
      <c r="N446" t="s">
        <v>16</v>
      </c>
      <c r="O446" t="str">
        <f t="shared" si="72"/>
        <v>Control</v>
      </c>
      <c r="R446" t="s">
        <v>194</v>
      </c>
      <c r="S446" t="s">
        <v>112</v>
      </c>
      <c r="T446" t="s">
        <v>26</v>
      </c>
      <c r="U446" t="s">
        <v>212</v>
      </c>
      <c r="W446" s="1">
        <v>1.7E-8</v>
      </c>
      <c r="Z446">
        <v>1</v>
      </c>
      <c r="AA446" t="s">
        <v>21</v>
      </c>
      <c r="AB446" t="s">
        <v>285</v>
      </c>
    </row>
    <row r="447" spans="1:28" x14ac:dyDescent="0.35">
      <c r="A447" t="s">
        <v>160</v>
      </c>
      <c r="B447" t="s">
        <v>19</v>
      </c>
      <c r="C447" t="s">
        <v>20</v>
      </c>
      <c r="D447" t="s">
        <v>11</v>
      </c>
      <c r="E447" t="s">
        <v>14</v>
      </c>
      <c r="F447" t="s">
        <v>15</v>
      </c>
      <c r="G447" t="s">
        <v>15</v>
      </c>
      <c r="H447" t="s">
        <v>15</v>
      </c>
      <c r="I447" t="s">
        <v>242</v>
      </c>
      <c r="J447">
        <f t="shared" si="73"/>
        <v>7.5</v>
      </c>
      <c r="K447" t="s">
        <v>201</v>
      </c>
      <c r="L447" t="s">
        <v>45</v>
      </c>
      <c r="M447" t="str">
        <f t="shared" si="71"/>
        <v>Stress</v>
      </c>
      <c r="N447" t="s">
        <v>16</v>
      </c>
      <c r="O447" t="str">
        <f t="shared" si="72"/>
        <v>Control</v>
      </c>
      <c r="R447" t="s">
        <v>193</v>
      </c>
      <c r="S447" t="s">
        <v>112</v>
      </c>
      <c r="T447" t="s">
        <v>26</v>
      </c>
      <c r="U447" t="s">
        <v>212</v>
      </c>
      <c r="W447" s="1">
        <v>3.7999999999999996E-8</v>
      </c>
      <c r="Z447">
        <v>1</v>
      </c>
      <c r="AA447" t="s">
        <v>21</v>
      </c>
      <c r="AB447" t="s">
        <v>285</v>
      </c>
    </row>
    <row r="448" spans="1:28" x14ac:dyDescent="0.35">
      <c r="A448" t="s">
        <v>160</v>
      </c>
      <c r="B448" t="s">
        <v>19</v>
      </c>
      <c r="C448" t="s">
        <v>20</v>
      </c>
      <c r="D448" t="s">
        <v>11</v>
      </c>
      <c r="E448" t="s">
        <v>14</v>
      </c>
      <c r="F448" t="s">
        <v>15</v>
      </c>
      <c r="G448" t="s">
        <v>15</v>
      </c>
      <c r="H448" t="s">
        <v>15</v>
      </c>
      <c r="I448" t="s">
        <v>242</v>
      </c>
      <c r="J448">
        <f t="shared" si="73"/>
        <v>7.5</v>
      </c>
      <c r="K448" t="s">
        <v>201</v>
      </c>
      <c r="L448" t="s">
        <v>45</v>
      </c>
      <c r="M448" t="str">
        <f t="shared" si="71"/>
        <v>Stress</v>
      </c>
      <c r="N448" t="s">
        <v>16</v>
      </c>
      <c r="O448" t="str">
        <f t="shared" si="72"/>
        <v>Control</v>
      </c>
      <c r="R448" t="s">
        <v>195</v>
      </c>
      <c r="S448" t="s">
        <v>112</v>
      </c>
      <c r="T448" t="s">
        <v>26</v>
      </c>
      <c r="U448" t="s">
        <v>212</v>
      </c>
      <c r="W448" s="1">
        <v>5.2999999999999998E-8</v>
      </c>
      <c r="Z448">
        <v>1</v>
      </c>
      <c r="AA448" t="s">
        <v>21</v>
      </c>
      <c r="AB448" t="s">
        <v>285</v>
      </c>
    </row>
    <row r="449" spans="1:28" x14ac:dyDescent="0.35">
      <c r="A449" t="s">
        <v>160</v>
      </c>
      <c r="B449" t="s">
        <v>19</v>
      </c>
      <c r="C449" t="s">
        <v>20</v>
      </c>
      <c r="D449" t="s">
        <v>11</v>
      </c>
      <c r="E449" t="s">
        <v>14</v>
      </c>
      <c r="F449" t="s">
        <v>15</v>
      </c>
      <c r="G449" t="s">
        <v>15</v>
      </c>
      <c r="H449" t="s">
        <v>15</v>
      </c>
      <c r="I449" t="s">
        <v>242</v>
      </c>
      <c r="J449">
        <f t="shared" si="73"/>
        <v>7.5</v>
      </c>
      <c r="K449" t="s">
        <v>201</v>
      </c>
      <c r="L449" t="s">
        <v>16</v>
      </c>
      <c r="M449" t="str">
        <f t="shared" si="71"/>
        <v>Control</v>
      </c>
      <c r="N449" t="s">
        <v>16</v>
      </c>
      <c r="O449" t="str">
        <f t="shared" si="72"/>
        <v>Control</v>
      </c>
      <c r="R449" t="s">
        <v>194</v>
      </c>
      <c r="S449" t="s">
        <v>112</v>
      </c>
      <c r="T449" t="s">
        <v>26</v>
      </c>
      <c r="U449" t="s">
        <v>212</v>
      </c>
      <c r="W449" s="1">
        <v>2.7E-8</v>
      </c>
      <c r="Z449">
        <v>0.92</v>
      </c>
      <c r="AA449" t="s">
        <v>21</v>
      </c>
      <c r="AB449" t="s">
        <v>285</v>
      </c>
    </row>
    <row r="450" spans="1:28" x14ac:dyDescent="0.35">
      <c r="A450" t="s">
        <v>160</v>
      </c>
      <c r="B450" t="s">
        <v>19</v>
      </c>
      <c r="C450" t="s">
        <v>20</v>
      </c>
      <c r="D450" t="s">
        <v>11</v>
      </c>
      <c r="E450" t="s">
        <v>14</v>
      </c>
      <c r="F450" t="s">
        <v>15</v>
      </c>
      <c r="G450" t="s">
        <v>15</v>
      </c>
      <c r="H450" t="s">
        <v>15</v>
      </c>
      <c r="I450" t="s">
        <v>242</v>
      </c>
      <c r="J450">
        <f t="shared" si="73"/>
        <v>7.5</v>
      </c>
      <c r="K450" t="s">
        <v>201</v>
      </c>
      <c r="L450" t="s">
        <v>16</v>
      </c>
      <c r="M450" t="str">
        <f t="shared" si="71"/>
        <v>Control</v>
      </c>
      <c r="N450" t="s">
        <v>16</v>
      </c>
      <c r="O450" t="str">
        <f t="shared" si="72"/>
        <v>Control</v>
      </c>
      <c r="R450" t="s">
        <v>193</v>
      </c>
      <c r="S450" t="s">
        <v>112</v>
      </c>
      <c r="T450" t="s">
        <v>26</v>
      </c>
      <c r="U450" t="s">
        <v>212</v>
      </c>
      <c r="W450" s="1">
        <v>6.8E-8</v>
      </c>
      <c r="Z450">
        <v>0.92</v>
      </c>
      <c r="AA450" t="s">
        <v>21</v>
      </c>
      <c r="AB450" t="s">
        <v>285</v>
      </c>
    </row>
    <row r="451" spans="1:28" x14ac:dyDescent="0.35">
      <c r="A451" t="s">
        <v>160</v>
      </c>
      <c r="B451" t="s">
        <v>19</v>
      </c>
      <c r="C451" t="s">
        <v>20</v>
      </c>
      <c r="D451" t="s">
        <v>11</v>
      </c>
      <c r="E451" t="s">
        <v>14</v>
      </c>
      <c r="F451" t="s">
        <v>15</v>
      </c>
      <c r="G451" t="s">
        <v>15</v>
      </c>
      <c r="H451" t="s">
        <v>15</v>
      </c>
      <c r="I451" t="s">
        <v>242</v>
      </c>
      <c r="J451">
        <f t="shared" si="73"/>
        <v>7.5</v>
      </c>
      <c r="K451" t="s">
        <v>201</v>
      </c>
      <c r="L451" t="s">
        <v>16</v>
      </c>
      <c r="M451" t="str">
        <f t="shared" si="71"/>
        <v>Control</v>
      </c>
      <c r="N451" t="s">
        <v>16</v>
      </c>
      <c r="O451" t="str">
        <f t="shared" si="72"/>
        <v>Control</v>
      </c>
      <c r="R451" t="s">
        <v>195</v>
      </c>
      <c r="S451" t="s">
        <v>112</v>
      </c>
      <c r="T451" t="s">
        <v>26</v>
      </c>
      <c r="U451" t="s">
        <v>212</v>
      </c>
      <c r="W451" s="1">
        <v>9.5999999999999986E-8</v>
      </c>
      <c r="Z451">
        <v>0.92</v>
      </c>
      <c r="AA451" t="s">
        <v>21</v>
      </c>
      <c r="AB451" t="s">
        <v>285</v>
      </c>
    </row>
    <row r="452" spans="1:28" x14ac:dyDescent="0.35">
      <c r="A452" t="s">
        <v>160</v>
      </c>
      <c r="B452" t="s">
        <v>19</v>
      </c>
      <c r="C452" t="s">
        <v>20</v>
      </c>
      <c r="D452" t="s">
        <v>11</v>
      </c>
      <c r="E452" t="s">
        <v>14</v>
      </c>
      <c r="F452" t="s">
        <v>15</v>
      </c>
      <c r="G452" t="s">
        <v>15</v>
      </c>
      <c r="H452" t="s">
        <v>15</v>
      </c>
      <c r="I452" t="s">
        <v>242</v>
      </c>
      <c r="J452">
        <f t="shared" si="73"/>
        <v>7.5</v>
      </c>
      <c r="K452" t="s">
        <v>201</v>
      </c>
      <c r="L452" t="s">
        <v>45</v>
      </c>
      <c r="M452" t="str">
        <f t="shared" si="71"/>
        <v>Stress</v>
      </c>
      <c r="N452" t="s">
        <v>237</v>
      </c>
      <c r="O452" t="str">
        <f t="shared" si="72"/>
        <v>Stress</v>
      </c>
      <c r="R452" t="s">
        <v>194</v>
      </c>
      <c r="S452" t="s">
        <v>112</v>
      </c>
      <c r="T452" t="s">
        <v>26</v>
      </c>
      <c r="U452" t="s">
        <v>212</v>
      </c>
      <c r="W452" s="1">
        <v>2.6000000000000001E-8</v>
      </c>
      <c r="Z452">
        <v>0.88</v>
      </c>
      <c r="AA452" t="s">
        <v>21</v>
      </c>
      <c r="AB452" t="s">
        <v>285</v>
      </c>
    </row>
    <row r="453" spans="1:28" x14ac:dyDescent="0.35">
      <c r="A453" t="s">
        <v>160</v>
      </c>
      <c r="B453" t="s">
        <v>19</v>
      </c>
      <c r="C453" t="s">
        <v>20</v>
      </c>
      <c r="D453" t="s">
        <v>11</v>
      </c>
      <c r="E453" t="s">
        <v>14</v>
      </c>
      <c r="F453" t="s">
        <v>15</v>
      </c>
      <c r="G453" t="s">
        <v>15</v>
      </c>
      <c r="H453" t="s">
        <v>15</v>
      </c>
      <c r="I453" t="s">
        <v>242</v>
      </c>
      <c r="J453">
        <f t="shared" si="73"/>
        <v>7.5</v>
      </c>
      <c r="K453" t="s">
        <v>201</v>
      </c>
      <c r="L453" t="s">
        <v>45</v>
      </c>
      <c r="M453" t="str">
        <f t="shared" si="71"/>
        <v>Stress</v>
      </c>
      <c r="N453" t="s">
        <v>237</v>
      </c>
      <c r="O453" t="str">
        <f t="shared" si="72"/>
        <v>Stress</v>
      </c>
      <c r="R453" t="s">
        <v>193</v>
      </c>
      <c r="S453" t="s">
        <v>112</v>
      </c>
      <c r="T453" t="s">
        <v>26</v>
      </c>
      <c r="U453" t="s">
        <v>212</v>
      </c>
      <c r="W453" s="1">
        <v>5.9999999999999995E-8</v>
      </c>
      <c r="Z453">
        <v>0.88</v>
      </c>
      <c r="AA453" t="s">
        <v>21</v>
      </c>
      <c r="AB453" t="s">
        <v>285</v>
      </c>
    </row>
    <row r="454" spans="1:28" x14ac:dyDescent="0.35">
      <c r="A454" t="s">
        <v>160</v>
      </c>
      <c r="B454" t="s">
        <v>19</v>
      </c>
      <c r="C454" t="s">
        <v>20</v>
      </c>
      <c r="D454" t="s">
        <v>11</v>
      </c>
      <c r="E454" t="s">
        <v>14</v>
      </c>
      <c r="F454" t="s">
        <v>15</v>
      </c>
      <c r="G454" t="s">
        <v>15</v>
      </c>
      <c r="H454" t="s">
        <v>15</v>
      </c>
      <c r="I454" t="s">
        <v>242</v>
      </c>
      <c r="J454">
        <f t="shared" si="73"/>
        <v>7.5</v>
      </c>
      <c r="K454" t="s">
        <v>201</v>
      </c>
      <c r="L454" t="s">
        <v>45</v>
      </c>
      <c r="M454" t="str">
        <f t="shared" si="71"/>
        <v>Stress</v>
      </c>
      <c r="N454" t="s">
        <v>237</v>
      </c>
      <c r="O454" t="str">
        <f t="shared" si="72"/>
        <v>Stress</v>
      </c>
      <c r="R454" t="s">
        <v>195</v>
      </c>
      <c r="S454" t="s">
        <v>112</v>
      </c>
      <c r="T454" t="s">
        <v>26</v>
      </c>
      <c r="U454" t="s">
        <v>212</v>
      </c>
      <c r="W454" s="1">
        <v>8.0999999999999997E-8</v>
      </c>
      <c r="Z454">
        <v>0.88</v>
      </c>
      <c r="AA454" t="s">
        <v>21</v>
      </c>
      <c r="AB454" t="s">
        <v>285</v>
      </c>
    </row>
    <row r="455" spans="1:28" x14ac:dyDescent="0.35">
      <c r="A455" t="s">
        <v>170</v>
      </c>
      <c r="B455" t="s">
        <v>19</v>
      </c>
      <c r="C455" t="s">
        <v>20</v>
      </c>
      <c r="D455" t="s">
        <v>11</v>
      </c>
      <c r="E455" t="s">
        <v>14</v>
      </c>
      <c r="F455" t="s">
        <v>15</v>
      </c>
      <c r="G455" t="s">
        <v>15</v>
      </c>
      <c r="H455" t="s">
        <v>15</v>
      </c>
      <c r="I455" t="s">
        <v>242</v>
      </c>
      <c r="J455">
        <f>2+4</f>
        <v>6</v>
      </c>
      <c r="K455" t="s">
        <v>201</v>
      </c>
      <c r="L455" t="s">
        <v>16</v>
      </c>
      <c r="M455" t="str">
        <f t="shared" si="71"/>
        <v>Control</v>
      </c>
      <c r="N455" t="s">
        <v>16</v>
      </c>
      <c r="O455" t="str">
        <f t="shared" si="72"/>
        <v>Control</v>
      </c>
      <c r="R455" t="s">
        <v>193</v>
      </c>
      <c r="S455" t="s">
        <v>29</v>
      </c>
      <c r="T455" t="s">
        <v>26</v>
      </c>
      <c r="U455" t="s">
        <v>212</v>
      </c>
      <c r="W455" s="1">
        <v>4.7300000000000007E-8</v>
      </c>
      <c r="X455" s="2"/>
      <c r="Y455">
        <v>18.100000000000001</v>
      </c>
      <c r="Z455" s="2">
        <v>0.82</v>
      </c>
      <c r="AA455" t="s">
        <v>41</v>
      </c>
      <c r="AB455" t="s">
        <v>285</v>
      </c>
    </row>
    <row r="456" spans="1:28" x14ac:dyDescent="0.35">
      <c r="A456" t="s">
        <v>170</v>
      </c>
      <c r="B456" t="s">
        <v>19</v>
      </c>
      <c r="C456" t="s">
        <v>20</v>
      </c>
      <c r="D456" t="s">
        <v>11</v>
      </c>
      <c r="E456" t="s">
        <v>14</v>
      </c>
      <c r="F456" t="s">
        <v>15</v>
      </c>
      <c r="G456" t="s">
        <v>15</v>
      </c>
      <c r="H456" t="s">
        <v>15</v>
      </c>
      <c r="I456" t="s">
        <v>242</v>
      </c>
      <c r="J456">
        <f t="shared" ref="J456:J460" si="74">2+4</f>
        <v>6</v>
      </c>
      <c r="K456" t="s">
        <v>201</v>
      </c>
      <c r="L456" t="s">
        <v>45</v>
      </c>
      <c r="M456" t="str">
        <f t="shared" si="71"/>
        <v>Stress</v>
      </c>
      <c r="N456" t="s">
        <v>16</v>
      </c>
      <c r="O456" t="str">
        <f t="shared" si="72"/>
        <v>Control</v>
      </c>
      <c r="R456" t="s">
        <v>193</v>
      </c>
      <c r="S456" t="s">
        <v>29</v>
      </c>
      <c r="T456" t="s">
        <v>26</v>
      </c>
      <c r="U456" t="s">
        <v>212</v>
      </c>
      <c r="W456" s="1">
        <v>9.5999999999999999E-9</v>
      </c>
      <c r="X456" s="2"/>
      <c r="Y456">
        <v>8.3000000000000007</v>
      </c>
      <c r="Z456" s="2">
        <v>1.42</v>
      </c>
      <c r="AA456" t="s">
        <v>41</v>
      </c>
      <c r="AB456" t="s">
        <v>285</v>
      </c>
    </row>
    <row r="457" spans="1:28" x14ac:dyDescent="0.35">
      <c r="A457" t="s">
        <v>170</v>
      </c>
      <c r="B457" t="s">
        <v>19</v>
      </c>
      <c r="C457" t="s">
        <v>20</v>
      </c>
      <c r="D457" t="s">
        <v>11</v>
      </c>
      <c r="E457" t="s">
        <v>14</v>
      </c>
      <c r="F457" t="s">
        <v>15</v>
      </c>
      <c r="G457" t="s">
        <v>15</v>
      </c>
      <c r="H457" t="s">
        <v>15</v>
      </c>
      <c r="I457" t="s">
        <v>242</v>
      </c>
      <c r="J457">
        <f t="shared" si="74"/>
        <v>6</v>
      </c>
      <c r="K457" t="s">
        <v>201</v>
      </c>
      <c r="L457" t="s">
        <v>16</v>
      </c>
      <c r="M457" t="str">
        <f t="shared" si="71"/>
        <v>Control</v>
      </c>
      <c r="N457" t="s">
        <v>237</v>
      </c>
      <c r="O457" t="str">
        <f t="shared" si="72"/>
        <v>Stress</v>
      </c>
      <c r="R457" t="s">
        <v>193</v>
      </c>
      <c r="S457" t="s">
        <v>29</v>
      </c>
      <c r="T457" t="s">
        <v>26</v>
      </c>
      <c r="U457" t="s">
        <v>212</v>
      </c>
      <c r="W457" s="1">
        <v>3.5299999999999998E-8</v>
      </c>
      <c r="X457" s="2"/>
      <c r="Y457">
        <v>17.100000000000001</v>
      </c>
      <c r="Z457" s="2">
        <v>0.93</v>
      </c>
      <c r="AA457" t="s">
        <v>41</v>
      </c>
      <c r="AB457" t="s">
        <v>285</v>
      </c>
    </row>
    <row r="458" spans="1:28" x14ac:dyDescent="0.35">
      <c r="A458" t="s">
        <v>170</v>
      </c>
      <c r="B458" t="s">
        <v>19</v>
      </c>
      <c r="C458" t="s">
        <v>20</v>
      </c>
      <c r="D458" t="s">
        <v>11</v>
      </c>
      <c r="E458" t="s">
        <v>14</v>
      </c>
      <c r="F458" t="s">
        <v>15</v>
      </c>
      <c r="G458" t="s">
        <v>15</v>
      </c>
      <c r="H458" t="s">
        <v>15</v>
      </c>
      <c r="I458" t="s">
        <v>242</v>
      </c>
      <c r="J458">
        <f t="shared" si="74"/>
        <v>6</v>
      </c>
      <c r="K458" t="s">
        <v>201</v>
      </c>
      <c r="L458" t="s">
        <v>45</v>
      </c>
      <c r="M458" t="str">
        <f t="shared" si="71"/>
        <v>Stress</v>
      </c>
      <c r="N458" t="s">
        <v>237</v>
      </c>
      <c r="O458" t="str">
        <f t="shared" si="72"/>
        <v>Stress</v>
      </c>
      <c r="R458" t="s">
        <v>193</v>
      </c>
      <c r="S458" t="s">
        <v>29</v>
      </c>
      <c r="T458" t="s">
        <v>26</v>
      </c>
      <c r="U458" t="s">
        <v>212</v>
      </c>
      <c r="W458" s="1">
        <v>1.7199999999999999E-8</v>
      </c>
      <c r="X458" s="2"/>
      <c r="Y458">
        <v>13.7</v>
      </c>
      <c r="Z458" s="2">
        <v>0.78</v>
      </c>
      <c r="AA458" t="s">
        <v>41</v>
      </c>
      <c r="AB458" t="s">
        <v>285</v>
      </c>
    </row>
    <row r="459" spans="1:28" x14ac:dyDescent="0.35">
      <c r="A459" t="s">
        <v>170</v>
      </c>
      <c r="B459" t="s">
        <v>19</v>
      </c>
      <c r="C459" t="s">
        <v>20</v>
      </c>
      <c r="D459" t="s">
        <v>11</v>
      </c>
      <c r="E459" t="s">
        <v>14</v>
      </c>
      <c r="F459" t="s">
        <v>15</v>
      </c>
      <c r="G459" t="s">
        <v>15</v>
      </c>
      <c r="H459" t="s">
        <v>15</v>
      </c>
      <c r="I459" t="s">
        <v>242</v>
      </c>
      <c r="J459">
        <f t="shared" si="74"/>
        <v>6</v>
      </c>
      <c r="K459" t="s">
        <v>257</v>
      </c>
      <c r="L459" t="s">
        <v>16</v>
      </c>
      <c r="M459" t="str">
        <f t="shared" si="71"/>
        <v>Control</v>
      </c>
      <c r="R459" t="s">
        <v>193</v>
      </c>
      <c r="S459" t="s">
        <v>29</v>
      </c>
      <c r="T459" t="s">
        <v>26</v>
      </c>
      <c r="U459" t="s">
        <v>212</v>
      </c>
      <c r="W459" s="1">
        <v>4.73E-8</v>
      </c>
      <c r="X459" s="2"/>
      <c r="Y459">
        <v>18.100000000000001</v>
      </c>
      <c r="Z459" s="2">
        <v>0.82</v>
      </c>
      <c r="AA459" t="s">
        <v>41</v>
      </c>
      <c r="AB459" t="s">
        <v>285</v>
      </c>
    </row>
    <row r="460" spans="1:28" x14ac:dyDescent="0.35">
      <c r="A460" t="s">
        <v>170</v>
      </c>
      <c r="B460" t="s">
        <v>19</v>
      </c>
      <c r="C460" t="s">
        <v>20</v>
      </c>
      <c r="D460" t="s">
        <v>11</v>
      </c>
      <c r="E460" t="s">
        <v>14</v>
      </c>
      <c r="F460" t="s">
        <v>15</v>
      </c>
      <c r="G460" t="s">
        <v>15</v>
      </c>
      <c r="H460" t="s">
        <v>15</v>
      </c>
      <c r="I460" t="s">
        <v>242</v>
      </c>
      <c r="J460">
        <f t="shared" si="74"/>
        <v>6</v>
      </c>
      <c r="K460" t="s">
        <v>257</v>
      </c>
      <c r="L460" t="s">
        <v>258</v>
      </c>
      <c r="M460" t="str">
        <f t="shared" si="71"/>
        <v>Stress</v>
      </c>
      <c r="R460" t="s">
        <v>193</v>
      </c>
      <c r="S460" t="s">
        <v>29</v>
      </c>
      <c r="T460" t="s">
        <v>26</v>
      </c>
      <c r="U460" t="s">
        <v>212</v>
      </c>
      <c r="W460" s="1">
        <v>1.3200000000000001E-8</v>
      </c>
      <c r="X460" s="2"/>
      <c r="Y460">
        <v>18.100000000000001</v>
      </c>
      <c r="Z460" s="2">
        <v>0.82</v>
      </c>
      <c r="AA460" t="s">
        <v>41</v>
      </c>
      <c r="AB460" t="s">
        <v>285</v>
      </c>
    </row>
    <row r="461" spans="1:28" x14ac:dyDescent="0.35">
      <c r="A461" t="s">
        <v>161</v>
      </c>
      <c r="B461" t="s">
        <v>163</v>
      </c>
      <c r="C461" t="s">
        <v>162</v>
      </c>
      <c r="D461" t="s">
        <v>92</v>
      </c>
      <c r="E461" t="s">
        <v>12</v>
      </c>
      <c r="F461" t="s">
        <v>216</v>
      </c>
      <c r="G461" t="s">
        <v>216</v>
      </c>
      <c r="H461" t="s">
        <v>290</v>
      </c>
      <c r="I461" t="s">
        <v>294</v>
      </c>
      <c r="J461">
        <v>4</v>
      </c>
      <c r="K461" t="s">
        <v>281</v>
      </c>
      <c r="L461" t="s">
        <v>281</v>
      </c>
      <c r="M461" t="s">
        <v>281</v>
      </c>
      <c r="R461" t="s">
        <v>194</v>
      </c>
      <c r="S461" t="s">
        <v>25</v>
      </c>
      <c r="T461" t="s">
        <v>31</v>
      </c>
      <c r="U461" t="s">
        <v>211</v>
      </c>
      <c r="W461" s="1">
        <v>2.7E-8</v>
      </c>
      <c r="AA461" t="s">
        <v>21</v>
      </c>
      <c r="AB461" t="s">
        <v>285</v>
      </c>
    </row>
    <row r="462" spans="1:28" x14ac:dyDescent="0.35">
      <c r="A462" t="s">
        <v>161</v>
      </c>
      <c r="B462" t="s">
        <v>163</v>
      </c>
      <c r="C462" t="s">
        <v>162</v>
      </c>
      <c r="D462" t="s">
        <v>92</v>
      </c>
      <c r="E462" t="s">
        <v>12</v>
      </c>
      <c r="F462" t="s">
        <v>216</v>
      </c>
      <c r="G462" t="s">
        <v>216</v>
      </c>
      <c r="H462" t="s">
        <v>290</v>
      </c>
      <c r="I462" t="s">
        <v>294</v>
      </c>
      <c r="J462">
        <v>3</v>
      </c>
      <c r="K462" t="s">
        <v>281</v>
      </c>
      <c r="L462" t="s">
        <v>281</v>
      </c>
      <c r="M462" t="s">
        <v>281</v>
      </c>
      <c r="R462" t="s">
        <v>193</v>
      </c>
      <c r="S462" t="s">
        <v>25</v>
      </c>
      <c r="T462" t="s">
        <v>31</v>
      </c>
      <c r="U462" t="s">
        <v>211</v>
      </c>
      <c r="W462" s="1">
        <f>+AVERAGE(2.8,6.8,4.6,2.7,5.2,4.7,20)*0.00000001</f>
        <v>6.6857142857142855E-8</v>
      </c>
      <c r="AA462" t="s">
        <v>21</v>
      </c>
      <c r="AB462" t="s">
        <v>285</v>
      </c>
    </row>
    <row r="463" spans="1:28" x14ac:dyDescent="0.35">
      <c r="A463" t="s">
        <v>161</v>
      </c>
      <c r="B463" t="s">
        <v>163</v>
      </c>
      <c r="C463" t="s">
        <v>162</v>
      </c>
      <c r="D463" t="s">
        <v>92</v>
      </c>
      <c r="E463" t="s">
        <v>12</v>
      </c>
      <c r="F463" t="s">
        <v>216</v>
      </c>
      <c r="G463" t="s">
        <v>216</v>
      </c>
      <c r="H463" t="s">
        <v>290</v>
      </c>
      <c r="I463" t="s">
        <v>294</v>
      </c>
      <c r="J463">
        <v>3</v>
      </c>
      <c r="K463" t="s">
        <v>281</v>
      </c>
      <c r="L463" t="s">
        <v>281</v>
      </c>
      <c r="M463" t="s">
        <v>281</v>
      </c>
      <c r="R463" t="s">
        <v>195</v>
      </c>
      <c r="S463" t="s">
        <v>25</v>
      </c>
      <c r="T463" t="s">
        <v>31</v>
      </c>
      <c r="U463" t="s">
        <v>211</v>
      </c>
      <c r="W463" s="1">
        <v>1.9999999999999999E-7</v>
      </c>
      <c r="AA463" t="s">
        <v>21</v>
      </c>
      <c r="AB463" t="s">
        <v>285</v>
      </c>
    </row>
    <row r="464" spans="1:28" x14ac:dyDescent="0.35">
      <c r="A464" t="s">
        <v>161</v>
      </c>
      <c r="B464" t="s">
        <v>163</v>
      </c>
      <c r="C464" t="s">
        <v>162</v>
      </c>
      <c r="D464" t="s">
        <v>92</v>
      </c>
      <c r="E464" t="s">
        <v>12</v>
      </c>
      <c r="F464" t="s">
        <v>216</v>
      </c>
      <c r="G464" t="s">
        <v>216</v>
      </c>
      <c r="H464" t="s">
        <v>290</v>
      </c>
      <c r="I464" t="s">
        <v>294</v>
      </c>
      <c r="J464">
        <v>6</v>
      </c>
      <c r="K464" t="s">
        <v>281</v>
      </c>
      <c r="L464" t="s">
        <v>281</v>
      </c>
      <c r="M464" t="s">
        <v>281</v>
      </c>
      <c r="R464" t="s">
        <v>194</v>
      </c>
      <c r="S464" t="s">
        <v>25</v>
      </c>
      <c r="T464" t="s">
        <v>31</v>
      </c>
      <c r="U464" t="s">
        <v>212</v>
      </c>
      <c r="W464" s="1">
        <v>1.7999999999999999E-8</v>
      </c>
      <c r="AA464" t="s">
        <v>21</v>
      </c>
      <c r="AB464" t="s">
        <v>285</v>
      </c>
    </row>
    <row r="465" spans="1:28" x14ac:dyDescent="0.35">
      <c r="A465" t="s">
        <v>161</v>
      </c>
      <c r="B465" t="s">
        <v>163</v>
      </c>
      <c r="C465" t="s">
        <v>162</v>
      </c>
      <c r="D465" t="s">
        <v>92</v>
      </c>
      <c r="E465" t="s">
        <v>12</v>
      </c>
      <c r="F465" t="s">
        <v>216</v>
      </c>
      <c r="G465" t="s">
        <v>216</v>
      </c>
      <c r="H465" t="s">
        <v>290</v>
      </c>
      <c r="I465" t="s">
        <v>294</v>
      </c>
      <c r="J465">
        <v>7</v>
      </c>
      <c r="K465" t="s">
        <v>281</v>
      </c>
      <c r="L465" t="s">
        <v>281</v>
      </c>
      <c r="M465" t="s">
        <v>281</v>
      </c>
      <c r="R465" t="s">
        <v>193</v>
      </c>
      <c r="S465" t="s">
        <v>25</v>
      </c>
      <c r="T465" t="s">
        <v>31</v>
      </c>
      <c r="U465" t="s">
        <v>212</v>
      </c>
      <c r="W465" s="1">
        <f>+AVERAGE(1.8,8.4,1.9,2.4,5.7,6.9,5.2)*0.00000001</f>
        <v>4.6142857142857151E-8</v>
      </c>
      <c r="AA465" t="s">
        <v>21</v>
      </c>
      <c r="AB465" t="s">
        <v>285</v>
      </c>
    </row>
    <row r="466" spans="1:28" x14ac:dyDescent="0.35">
      <c r="A466" t="s">
        <v>161</v>
      </c>
      <c r="B466" t="s">
        <v>163</v>
      </c>
      <c r="C466" t="s">
        <v>162</v>
      </c>
      <c r="D466" t="s">
        <v>92</v>
      </c>
      <c r="E466" t="s">
        <v>12</v>
      </c>
      <c r="F466" t="s">
        <v>216</v>
      </c>
      <c r="G466" t="s">
        <v>216</v>
      </c>
      <c r="H466" t="s">
        <v>290</v>
      </c>
      <c r="I466" t="s">
        <v>294</v>
      </c>
      <c r="J466">
        <v>5</v>
      </c>
      <c r="K466" t="s">
        <v>281</v>
      </c>
      <c r="L466" t="s">
        <v>281</v>
      </c>
      <c r="M466" t="s">
        <v>281</v>
      </c>
      <c r="R466" t="s">
        <v>195</v>
      </c>
      <c r="S466" t="s">
        <v>25</v>
      </c>
      <c r="T466" t="s">
        <v>31</v>
      </c>
      <c r="U466" t="s">
        <v>212</v>
      </c>
      <c r="W466" s="1">
        <v>8.3999999999999998E-8</v>
      </c>
      <c r="AA466" t="s">
        <v>21</v>
      </c>
      <c r="AB466" t="s">
        <v>285</v>
      </c>
    </row>
    <row r="467" spans="1:28" x14ac:dyDescent="0.35">
      <c r="A467" t="s">
        <v>164</v>
      </c>
      <c r="B467" t="s">
        <v>19</v>
      </c>
      <c r="C467" t="s">
        <v>20</v>
      </c>
      <c r="D467" t="s">
        <v>11</v>
      </c>
      <c r="E467" t="s">
        <v>14</v>
      </c>
      <c r="F467" t="s">
        <v>15</v>
      </c>
      <c r="G467" t="s">
        <v>15</v>
      </c>
      <c r="H467" t="s">
        <v>15</v>
      </c>
      <c r="I467" t="s">
        <v>242</v>
      </c>
      <c r="J467">
        <f>+AVERAGE(3,16)</f>
        <v>9.5</v>
      </c>
      <c r="K467" t="s">
        <v>281</v>
      </c>
      <c r="L467" t="s">
        <v>281</v>
      </c>
      <c r="M467" t="s">
        <v>281</v>
      </c>
      <c r="R467" t="s">
        <v>194</v>
      </c>
      <c r="S467" t="s">
        <v>25</v>
      </c>
      <c r="T467" t="s">
        <v>31</v>
      </c>
      <c r="U467" t="s">
        <v>211</v>
      </c>
      <c r="W467" s="1">
        <f>'[44]Frensch&amp;Steudle_1989_Fig3a'!C9</f>
        <v>2.19662454679605E-7</v>
      </c>
      <c r="AA467" t="s">
        <v>21</v>
      </c>
      <c r="AB467" t="s">
        <v>285</v>
      </c>
    </row>
    <row r="468" spans="1:28" x14ac:dyDescent="0.35">
      <c r="A468" t="s">
        <v>164</v>
      </c>
      <c r="B468" t="s">
        <v>19</v>
      </c>
      <c r="C468" t="s">
        <v>20</v>
      </c>
      <c r="D468" t="s">
        <v>11</v>
      </c>
      <c r="E468" t="s">
        <v>14</v>
      </c>
      <c r="F468" t="s">
        <v>15</v>
      </c>
      <c r="G468" t="s">
        <v>15</v>
      </c>
      <c r="H468" t="s">
        <v>15</v>
      </c>
      <c r="I468" t="s">
        <v>242</v>
      </c>
      <c r="J468">
        <f t="shared" ref="J468:J472" si="75">+AVERAGE(3,16)</f>
        <v>9.5</v>
      </c>
      <c r="K468" t="s">
        <v>281</v>
      </c>
      <c r="L468" t="s">
        <v>281</v>
      </c>
      <c r="M468" t="s">
        <v>281</v>
      </c>
      <c r="R468" t="s">
        <v>193</v>
      </c>
      <c r="S468" t="s">
        <v>25</v>
      </c>
      <c r="T468" t="s">
        <v>31</v>
      </c>
      <c r="U468" t="s">
        <v>211</v>
      </c>
      <c r="W468" s="1">
        <f>'[44]Frensch&amp;Steudle_1989_Fig3a'!C10</f>
        <v>2.4773016896811153E-7</v>
      </c>
      <c r="AA468" t="s">
        <v>21</v>
      </c>
      <c r="AB468" t="s">
        <v>285</v>
      </c>
    </row>
    <row r="469" spans="1:28" x14ac:dyDescent="0.35">
      <c r="A469" t="s">
        <v>164</v>
      </c>
      <c r="B469" t="s">
        <v>19</v>
      </c>
      <c r="C469" t="s">
        <v>20</v>
      </c>
      <c r="D469" t="s">
        <v>11</v>
      </c>
      <c r="E469" t="s">
        <v>14</v>
      </c>
      <c r="F469" t="s">
        <v>15</v>
      </c>
      <c r="G469" t="s">
        <v>15</v>
      </c>
      <c r="H469" t="s">
        <v>15</v>
      </c>
      <c r="I469" t="s">
        <v>242</v>
      </c>
      <c r="J469">
        <f t="shared" si="75"/>
        <v>9.5</v>
      </c>
      <c r="K469" t="s">
        <v>281</v>
      </c>
      <c r="L469" t="s">
        <v>281</v>
      </c>
      <c r="M469" t="s">
        <v>281</v>
      </c>
      <c r="R469" t="s">
        <v>195</v>
      </c>
      <c r="S469" t="s">
        <v>25</v>
      </c>
      <c r="T469" t="s">
        <v>31</v>
      </c>
      <c r="U469" t="s">
        <v>211</v>
      </c>
      <c r="W469" s="1">
        <f>'[44]Frensch&amp;Steudle_1989_Fig3a'!C11</f>
        <v>2.70582544196546E-7</v>
      </c>
      <c r="AA469" t="s">
        <v>21</v>
      </c>
      <c r="AB469" t="s">
        <v>285</v>
      </c>
    </row>
    <row r="470" spans="1:28" x14ac:dyDescent="0.35">
      <c r="A470" t="s">
        <v>164</v>
      </c>
      <c r="B470" t="s">
        <v>19</v>
      </c>
      <c r="C470" t="s">
        <v>20</v>
      </c>
      <c r="D470" t="s">
        <v>11</v>
      </c>
      <c r="E470" t="s">
        <v>14</v>
      </c>
      <c r="F470" t="s">
        <v>15</v>
      </c>
      <c r="G470" t="s">
        <v>15</v>
      </c>
      <c r="H470" t="s">
        <v>15</v>
      </c>
      <c r="I470" t="s">
        <v>242</v>
      </c>
      <c r="J470">
        <f t="shared" si="75"/>
        <v>9.5</v>
      </c>
      <c r="K470" t="s">
        <v>281</v>
      </c>
      <c r="L470" t="s">
        <v>281</v>
      </c>
      <c r="M470" t="s">
        <v>281</v>
      </c>
      <c r="R470" t="s">
        <v>194</v>
      </c>
      <c r="S470" t="s">
        <v>25</v>
      </c>
      <c r="T470" t="s">
        <v>31</v>
      </c>
      <c r="U470" t="s">
        <v>212</v>
      </c>
      <c r="W470" s="1">
        <f>'[45]Frensch&amp;Steudle_1989_Fig3b'!C9</f>
        <v>3.7625142664574398E-10</v>
      </c>
      <c r="AA470" t="s">
        <v>21</v>
      </c>
      <c r="AB470" t="s">
        <v>285</v>
      </c>
    </row>
    <row r="471" spans="1:28" x14ac:dyDescent="0.35">
      <c r="A471" t="s">
        <v>164</v>
      </c>
      <c r="B471" t="s">
        <v>19</v>
      </c>
      <c r="C471" t="s">
        <v>20</v>
      </c>
      <c r="D471" t="s">
        <v>11</v>
      </c>
      <c r="E471" t="s">
        <v>14</v>
      </c>
      <c r="F471" t="s">
        <v>15</v>
      </c>
      <c r="G471" t="s">
        <v>15</v>
      </c>
      <c r="H471" t="s">
        <v>15</v>
      </c>
      <c r="I471" t="s">
        <v>242</v>
      </c>
      <c r="J471">
        <f t="shared" si="75"/>
        <v>9.5</v>
      </c>
      <c r="K471" t="s">
        <v>281</v>
      </c>
      <c r="L471" t="s">
        <v>281</v>
      </c>
      <c r="M471" t="s">
        <v>281</v>
      </c>
      <c r="R471" t="s">
        <v>193</v>
      </c>
      <c r="S471" t="s">
        <v>25</v>
      </c>
      <c r="T471" t="s">
        <v>31</v>
      </c>
      <c r="U471" t="s">
        <v>212</v>
      </c>
      <c r="W471" s="1">
        <f>'[45]Frensch&amp;Steudle_1989_Fig3b'!C10</f>
        <v>1.1597000405971759E-8</v>
      </c>
      <c r="AA471" t="s">
        <v>21</v>
      </c>
      <c r="AB471" t="s">
        <v>285</v>
      </c>
    </row>
    <row r="472" spans="1:28" x14ac:dyDescent="0.35">
      <c r="A472" t="s">
        <v>164</v>
      </c>
      <c r="B472" t="s">
        <v>19</v>
      </c>
      <c r="C472" t="s">
        <v>20</v>
      </c>
      <c r="D472" t="s">
        <v>11</v>
      </c>
      <c r="E472" t="s">
        <v>14</v>
      </c>
      <c r="F472" t="s">
        <v>15</v>
      </c>
      <c r="G472" t="s">
        <v>15</v>
      </c>
      <c r="H472" t="s">
        <v>15</v>
      </c>
      <c r="I472" t="s">
        <v>242</v>
      </c>
      <c r="J472">
        <f t="shared" si="75"/>
        <v>9.5</v>
      </c>
      <c r="K472" t="s">
        <v>281</v>
      </c>
      <c r="L472" t="s">
        <v>281</v>
      </c>
      <c r="M472" t="s">
        <v>281</v>
      </c>
      <c r="R472" t="s">
        <v>195</v>
      </c>
      <c r="S472" t="s">
        <v>25</v>
      </c>
      <c r="T472" t="s">
        <v>31</v>
      </c>
      <c r="U472" t="s">
        <v>212</v>
      </c>
      <c r="W472" s="1">
        <f>'[45]Frensch&amp;Steudle_1989_Fig3b'!C11</f>
        <v>5.1362609248492897E-8</v>
      </c>
      <c r="AA472" t="s">
        <v>21</v>
      </c>
      <c r="AB472" t="s">
        <v>285</v>
      </c>
    </row>
    <row r="473" spans="1:28" x14ac:dyDescent="0.35">
      <c r="A473" t="s">
        <v>259</v>
      </c>
      <c r="B473" t="s">
        <v>260</v>
      </c>
      <c r="C473" t="s">
        <v>261</v>
      </c>
      <c r="D473" t="s">
        <v>92</v>
      </c>
      <c r="E473" t="s">
        <v>12</v>
      </c>
      <c r="F473" t="s">
        <v>216</v>
      </c>
      <c r="G473" t="s">
        <v>216</v>
      </c>
      <c r="H473" t="s">
        <v>290</v>
      </c>
      <c r="I473" t="s">
        <v>294</v>
      </c>
      <c r="K473" t="s">
        <v>262</v>
      </c>
      <c r="L473" t="s">
        <v>16</v>
      </c>
      <c r="M473" t="str">
        <f>+IF(L473="Control","Control","Stress")</f>
        <v>Control</v>
      </c>
      <c r="R473" t="s">
        <v>193</v>
      </c>
      <c r="S473" t="s">
        <v>148</v>
      </c>
      <c r="T473" t="s">
        <v>26</v>
      </c>
      <c r="U473" t="s">
        <v>211</v>
      </c>
      <c r="W473" s="1">
        <v>9.5999999999999996E-6</v>
      </c>
      <c r="Y473" s="2"/>
      <c r="Z473" s="2">
        <v>0.56899999999999995</v>
      </c>
      <c r="AA473" t="s">
        <v>51</v>
      </c>
      <c r="AB473" t="s">
        <v>285</v>
      </c>
    </row>
    <row r="474" spans="1:28" x14ac:dyDescent="0.35">
      <c r="A474" t="s">
        <v>259</v>
      </c>
      <c r="B474" t="s">
        <v>260</v>
      </c>
      <c r="C474" t="s">
        <v>261</v>
      </c>
      <c r="D474" t="s">
        <v>92</v>
      </c>
      <c r="E474" t="s">
        <v>12</v>
      </c>
      <c r="F474" t="s">
        <v>216</v>
      </c>
      <c r="G474" t="s">
        <v>216</v>
      </c>
      <c r="H474" t="s">
        <v>290</v>
      </c>
      <c r="I474" t="s">
        <v>294</v>
      </c>
      <c r="K474" t="s">
        <v>262</v>
      </c>
      <c r="L474" t="s">
        <v>263</v>
      </c>
      <c r="M474" t="str">
        <f>+IF(L474="Control","Control","Stress")</f>
        <v>Stress</v>
      </c>
      <c r="R474" t="s">
        <v>193</v>
      </c>
      <c r="S474" t="s">
        <v>148</v>
      </c>
      <c r="T474" t="s">
        <v>26</v>
      </c>
      <c r="U474" t="s">
        <v>211</v>
      </c>
      <c r="W474" s="1">
        <v>1.4399999999999999E-5</v>
      </c>
      <c r="Y474" s="2"/>
      <c r="Z474" s="2">
        <v>0.53400000000000003</v>
      </c>
      <c r="AA474" t="s">
        <v>51</v>
      </c>
      <c r="AB474" t="s">
        <v>285</v>
      </c>
    </row>
    <row r="475" spans="1:28" x14ac:dyDescent="0.35">
      <c r="A475" t="s">
        <v>246</v>
      </c>
      <c r="B475" t="s">
        <v>19</v>
      </c>
      <c r="C475" t="s">
        <v>20</v>
      </c>
      <c r="D475" t="s">
        <v>11</v>
      </c>
      <c r="E475" t="s">
        <v>14</v>
      </c>
      <c r="F475" t="s">
        <v>15</v>
      </c>
      <c r="G475" t="s">
        <v>15</v>
      </c>
      <c r="H475" t="s">
        <v>15</v>
      </c>
      <c r="I475" t="s">
        <v>242</v>
      </c>
      <c r="J475">
        <f>+AVERAGE(4,10)</f>
        <v>7</v>
      </c>
      <c r="K475" t="s">
        <v>281</v>
      </c>
      <c r="L475" t="s">
        <v>281</v>
      </c>
      <c r="M475" t="s">
        <v>281</v>
      </c>
      <c r="R475" t="s">
        <v>194</v>
      </c>
      <c r="S475" t="s">
        <v>29</v>
      </c>
      <c r="T475" t="s">
        <v>31</v>
      </c>
      <c r="U475" t="s">
        <v>212</v>
      </c>
      <c r="W475" s="1">
        <f>[46]Jones_etal_1988_Fig1b!E7</f>
        <v>8.9999999999999995E-9</v>
      </c>
      <c r="AA475" t="s">
        <v>245</v>
      </c>
      <c r="AB475" t="s">
        <v>285</v>
      </c>
    </row>
    <row r="476" spans="1:28" x14ac:dyDescent="0.35">
      <c r="A476" t="s">
        <v>246</v>
      </c>
      <c r="B476" t="s">
        <v>19</v>
      </c>
      <c r="C476" t="s">
        <v>20</v>
      </c>
      <c r="D476" t="s">
        <v>11</v>
      </c>
      <c r="E476" t="s">
        <v>14</v>
      </c>
      <c r="F476" t="s">
        <v>15</v>
      </c>
      <c r="G476" t="s">
        <v>15</v>
      </c>
      <c r="H476" t="s">
        <v>15</v>
      </c>
      <c r="I476" t="s">
        <v>242</v>
      </c>
      <c r="J476">
        <f t="shared" ref="J476:J480" si="76">+AVERAGE(4,10)</f>
        <v>7</v>
      </c>
      <c r="K476" t="s">
        <v>281</v>
      </c>
      <c r="L476" t="s">
        <v>281</v>
      </c>
      <c r="M476" t="s">
        <v>281</v>
      </c>
      <c r="R476" t="s">
        <v>193</v>
      </c>
      <c r="S476" t="s">
        <v>29</v>
      </c>
      <c r="T476" t="s">
        <v>31</v>
      </c>
      <c r="U476" t="s">
        <v>212</v>
      </c>
      <c r="W476" s="1">
        <f>[46]Jones_etal_1988_Fig1b!E8</f>
        <v>2.0097734308812946E-8</v>
      </c>
      <c r="Y476" s="3"/>
      <c r="AA476" t="s">
        <v>245</v>
      </c>
      <c r="AB476" t="s">
        <v>285</v>
      </c>
    </row>
    <row r="477" spans="1:28" x14ac:dyDescent="0.35">
      <c r="A477" t="s">
        <v>246</v>
      </c>
      <c r="B477" t="s">
        <v>19</v>
      </c>
      <c r="C477" t="s">
        <v>20</v>
      </c>
      <c r="D477" t="s">
        <v>11</v>
      </c>
      <c r="E477" t="s">
        <v>14</v>
      </c>
      <c r="F477" t="s">
        <v>15</v>
      </c>
      <c r="G477" t="s">
        <v>15</v>
      </c>
      <c r="H477" t="s">
        <v>15</v>
      </c>
      <c r="I477" t="s">
        <v>242</v>
      </c>
      <c r="J477">
        <f t="shared" si="76"/>
        <v>7</v>
      </c>
      <c r="K477" t="s">
        <v>281</v>
      </c>
      <c r="L477" t="s">
        <v>281</v>
      </c>
      <c r="M477" t="s">
        <v>281</v>
      </c>
      <c r="R477" t="s">
        <v>195</v>
      </c>
      <c r="S477" t="s">
        <v>29</v>
      </c>
      <c r="T477" t="s">
        <v>31</v>
      </c>
      <c r="U477" t="s">
        <v>212</v>
      </c>
      <c r="W477" s="1">
        <f>[46]Jones_etal_1988_Fig1b!E9</f>
        <v>4.8E-8</v>
      </c>
      <c r="AA477" t="s">
        <v>245</v>
      </c>
      <c r="AB477" t="s">
        <v>285</v>
      </c>
    </row>
    <row r="478" spans="1:28" x14ac:dyDescent="0.35">
      <c r="A478" t="s">
        <v>246</v>
      </c>
      <c r="B478" t="s">
        <v>42</v>
      </c>
      <c r="C478" t="s">
        <v>43</v>
      </c>
      <c r="D478" t="s">
        <v>11</v>
      </c>
      <c r="E478" t="s">
        <v>12</v>
      </c>
      <c r="F478" t="s">
        <v>13</v>
      </c>
      <c r="G478" t="s">
        <v>13</v>
      </c>
      <c r="H478" t="s">
        <v>13</v>
      </c>
      <c r="I478" t="s">
        <v>242</v>
      </c>
      <c r="J478">
        <f t="shared" si="76"/>
        <v>7</v>
      </c>
      <c r="K478" t="s">
        <v>281</v>
      </c>
      <c r="L478" t="s">
        <v>281</v>
      </c>
      <c r="M478" t="s">
        <v>281</v>
      </c>
      <c r="R478" t="s">
        <v>194</v>
      </c>
      <c r="S478" t="s">
        <v>29</v>
      </c>
      <c r="T478" t="s">
        <v>31</v>
      </c>
      <c r="U478" t="s">
        <v>212</v>
      </c>
      <c r="W478" s="1">
        <f>[47]Jones_etal_1988_Fig1a!E14</f>
        <v>1.6000000000000001E-8</v>
      </c>
      <c r="AA478" t="s">
        <v>245</v>
      </c>
      <c r="AB478" t="s">
        <v>285</v>
      </c>
    </row>
    <row r="479" spans="1:28" x14ac:dyDescent="0.35">
      <c r="A479" t="s">
        <v>246</v>
      </c>
      <c r="B479" t="s">
        <v>42</v>
      </c>
      <c r="C479" t="s">
        <v>43</v>
      </c>
      <c r="D479" t="s">
        <v>11</v>
      </c>
      <c r="E479" t="s">
        <v>12</v>
      </c>
      <c r="F479" t="s">
        <v>13</v>
      </c>
      <c r="G479" t="s">
        <v>13</v>
      </c>
      <c r="H479" t="s">
        <v>13</v>
      </c>
      <c r="I479" t="s">
        <v>242</v>
      </c>
      <c r="J479">
        <f t="shared" si="76"/>
        <v>7</v>
      </c>
      <c r="K479" t="s">
        <v>281</v>
      </c>
      <c r="L479" t="s">
        <v>281</v>
      </c>
      <c r="M479" t="s">
        <v>281</v>
      </c>
      <c r="R479" t="s">
        <v>193</v>
      </c>
      <c r="S479" t="s">
        <v>29</v>
      </c>
      <c r="T479" t="s">
        <v>31</v>
      </c>
      <c r="U479" t="s">
        <v>212</v>
      </c>
      <c r="W479" s="1">
        <f>[47]Jones_etal_1988_Fig1a!E15</f>
        <v>3.6353630591615678E-8</v>
      </c>
      <c r="AA479" t="s">
        <v>245</v>
      </c>
      <c r="AB479" t="s">
        <v>285</v>
      </c>
    </row>
    <row r="480" spans="1:28" x14ac:dyDescent="0.35">
      <c r="A480" t="s">
        <v>246</v>
      </c>
      <c r="B480" t="s">
        <v>42</v>
      </c>
      <c r="C480" t="s">
        <v>43</v>
      </c>
      <c r="D480" t="s">
        <v>11</v>
      </c>
      <c r="E480" t="s">
        <v>12</v>
      </c>
      <c r="F480" t="s">
        <v>13</v>
      </c>
      <c r="G480" t="s">
        <v>13</v>
      </c>
      <c r="H480" t="s">
        <v>13</v>
      </c>
      <c r="I480" t="s">
        <v>242</v>
      </c>
      <c r="J480">
        <f t="shared" si="76"/>
        <v>7</v>
      </c>
      <c r="K480" t="s">
        <v>281</v>
      </c>
      <c r="L480" t="s">
        <v>281</v>
      </c>
      <c r="M480" t="s">
        <v>281</v>
      </c>
      <c r="R480" t="s">
        <v>195</v>
      </c>
      <c r="S480" t="s">
        <v>29</v>
      </c>
      <c r="T480" t="s">
        <v>31</v>
      </c>
      <c r="U480" t="s">
        <v>212</v>
      </c>
      <c r="W480" s="1">
        <f>[47]Jones_etal_1988_Fig1a!E16</f>
        <v>5.5000000000000003E-8</v>
      </c>
      <c r="AA480" t="s">
        <v>245</v>
      </c>
      <c r="AB480" t="s">
        <v>285</v>
      </c>
    </row>
    <row r="481" spans="1:28" x14ac:dyDescent="0.35">
      <c r="A481" t="s">
        <v>165</v>
      </c>
      <c r="B481" t="s">
        <v>19</v>
      </c>
      <c r="C481" t="s">
        <v>20</v>
      </c>
      <c r="D481" t="s">
        <v>11</v>
      </c>
      <c r="E481" t="s">
        <v>14</v>
      </c>
      <c r="F481" t="s">
        <v>15</v>
      </c>
      <c r="G481" t="s">
        <v>15</v>
      </c>
      <c r="H481" t="s">
        <v>15</v>
      </c>
      <c r="I481" t="s">
        <v>242</v>
      </c>
      <c r="J481">
        <f>+AVERAGE(5,13)</f>
        <v>9</v>
      </c>
      <c r="K481" t="s">
        <v>281</v>
      </c>
      <c r="L481" t="s">
        <v>281</v>
      </c>
      <c r="M481" t="s">
        <v>281</v>
      </c>
      <c r="R481" t="s">
        <v>194</v>
      </c>
      <c r="S481" t="s">
        <v>25</v>
      </c>
      <c r="T481" t="s">
        <v>31</v>
      </c>
      <c r="U481" t="s">
        <v>211</v>
      </c>
      <c r="W481" s="1">
        <v>1.3000000000000001E-8</v>
      </c>
      <c r="X481" s="2"/>
      <c r="Z481" s="2">
        <f>+AVERAGE(0.7,1.2)</f>
        <v>0.95</v>
      </c>
      <c r="AA481" t="s">
        <v>21</v>
      </c>
      <c r="AB481" t="s">
        <v>285</v>
      </c>
    </row>
    <row r="482" spans="1:28" x14ac:dyDescent="0.35">
      <c r="A482" t="s">
        <v>165</v>
      </c>
      <c r="B482" t="s">
        <v>19</v>
      </c>
      <c r="C482" t="s">
        <v>20</v>
      </c>
      <c r="D482" t="s">
        <v>11</v>
      </c>
      <c r="E482" t="s">
        <v>14</v>
      </c>
      <c r="F482" t="s">
        <v>15</v>
      </c>
      <c r="G482" t="s">
        <v>15</v>
      </c>
      <c r="H482" t="s">
        <v>15</v>
      </c>
      <c r="I482" t="s">
        <v>242</v>
      </c>
      <c r="J482">
        <f t="shared" ref="J482" si="77">+AVERAGE(5,13)</f>
        <v>9</v>
      </c>
      <c r="K482" t="s">
        <v>281</v>
      </c>
      <c r="L482" t="s">
        <v>281</v>
      </c>
      <c r="M482" t="s">
        <v>281</v>
      </c>
      <c r="R482" t="s">
        <v>193</v>
      </c>
      <c r="S482" t="s">
        <v>25</v>
      </c>
      <c r="T482" t="s">
        <v>31</v>
      </c>
      <c r="U482" t="s">
        <v>211</v>
      </c>
      <c r="W482" s="1">
        <v>1.1499999999999998E-7</v>
      </c>
      <c r="X482" s="2"/>
      <c r="Z482" s="2">
        <f t="shared" ref="Z482:Z486" si="78">+AVERAGE(0.7,1.2)</f>
        <v>0.95</v>
      </c>
      <c r="AA482" t="s">
        <v>21</v>
      </c>
      <c r="AB482" t="s">
        <v>285</v>
      </c>
    </row>
    <row r="483" spans="1:28" x14ac:dyDescent="0.35">
      <c r="A483" t="s">
        <v>165</v>
      </c>
      <c r="B483" t="s">
        <v>19</v>
      </c>
      <c r="C483" t="s">
        <v>20</v>
      </c>
      <c r="D483" t="s">
        <v>11</v>
      </c>
      <c r="E483" t="s">
        <v>14</v>
      </c>
      <c r="F483" t="s">
        <v>15</v>
      </c>
      <c r="G483" t="s">
        <v>15</v>
      </c>
      <c r="H483" t="s">
        <v>15</v>
      </c>
      <c r="I483" t="s">
        <v>242</v>
      </c>
      <c r="J483">
        <v>9</v>
      </c>
      <c r="K483" t="s">
        <v>281</v>
      </c>
      <c r="L483" t="s">
        <v>281</v>
      </c>
      <c r="M483" t="s">
        <v>281</v>
      </c>
      <c r="R483" t="s">
        <v>195</v>
      </c>
      <c r="S483" t="s">
        <v>25</v>
      </c>
      <c r="T483" t="s">
        <v>31</v>
      </c>
      <c r="U483" t="s">
        <v>211</v>
      </c>
      <c r="W483" s="1">
        <v>4.5999999999999994E-7</v>
      </c>
      <c r="X483" s="2"/>
      <c r="Z483" s="2">
        <f t="shared" si="78"/>
        <v>0.95</v>
      </c>
      <c r="AA483" t="s">
        <v>21</v>
      </c>
      <c r="AB483" t="s">
        <v>285</v>
      </c>
    </row>
    <row r="484" spans="1:28" x14ac:dyDescent="0.35">
      <c r="A484" t="s">
        <v>165</v>
      </c>
      <c r="B484" t="s">
        <v>19</v>
      </c>
      <c r="C484" t="s">
        <v>20</v>
      </c>
      <c r="D484" t="s">
        <v>11</v>
      </c>
      <c r="E484" t="s">
        <v>14</v>
      </c>
      <c r="F484" t="s">
        <v>15</v>
      </c>
      <c r="G484" t="s">
        <v>15</v>
      </c>
      <c r="H484" t="s">
        <v>15</v>
      </c>
      <c r="I484" t="s">
        <v>242</v>
      </c>
      <c r="J484">
        <v>9</v>
      </c>
      <c r="K484" t="s">
        <v>281</v>
      </c>
      <c r="L484" t="s">
        <v>281</v>
      </c>
      <c r="M484" t="s">
        <v>281</v>
      </c>
      <c r="R484" t="s">
        <v>194</v>
      </c>
      <c r="S484" t="s">
        <v>25</v>
      </c>
      <c r="T484" t="s">
        <v>31</v>
      </c>
      <c r="U484" t="s">
        <v>212</v>
      </c>
      <c r="W484" s="1">
        <v>1.2E-9</v>
      </c>
      <c r="X484" s="2"/>
      <c r="Z484" s="2">
        <f t="shared" si="78"/>
        <v>0.95</v>
      </c>
      <c r="AA484" t="s">
        <v>21</v>
      </c>
      <c r="AB484" t="s">
        <v>285</v>
      </c>
    </row>
    <row r="485" spans="1:28" x14ac:dyDescent="0.35">
      <c r="A485" t="s">
        <v>165</v>
      </c>
      <c r="B485" t="s">
        <v>19</v>
      </c>
      <c r="C485" t="s">
        <v>20</v>
      </c>
      <c r="D485" t="s">
        <v>11</v>
      </c>
      <c r="E485" t="s">
        <v>14</v>
      </c>
      <c r="F485" t="s">
        <v>15</v>
      </c>
      <c r="G485" t="s">
        <v>15</v>
      </c>
      <c r="H485" t="s">
        <v>15</v>
      </c>
      <c r="I485" t="s">
        <v>242</v>
      </c>
      <c r="J485">
        <v>9</v>
      </c>
      <c r="K485" t="s">
        <v>281</v>
      </c>
      <c r="L485" t="s">
        <v>281</v>
      </c>
      <c r="M485" t="s">
        <v>281</v>
      </c>
      <c r="R485" t="s">
        <v>193</v>
      </c>
      <c r="S485" t="s">
        <v>25</v>
      </c>
      <c r="T485" t="s">
        <v>31</v>
      </c>
      <c r="U485" t="s">
        <v>212</v>
      </c>
      <c r="W485" s="1">
        <v>1.0999999999999999E-8</v>
      </c>
      <c r="X485" s="2"/>
      <c r="Z485" s="2">
        <f t="shared" si="78"/>
        <v>0.95</v>
      </c>
      <c r="AA485" t="s">
        <v>21</v>
      </c>
      <c r="AB485" t="s">
        <v>285</v>
      </c>
    </row>
    <row r="486" spans="1:28" x14ac:dyDescent="0.35">
      <c r="A486" t="s">
        <v>165</v>
      </c>
      <c r="B486" t="s">
        <v>19</v>
      </c>
      <c r="C486" t="s">
        <v>20</v>
      </c>
      <c r="D486" t="s">
        <v>11</v>
      </c>
      <c r="E486" t="s">
        <v>14</v>
      </c>
      <c r="F486" t="s">
        <v>15</v>
      </c>
      <c r="G486" t="s">
        <v>15</v>
      </c>
      <c r="H486" t="s">
        <v>15</v>
      </c>
      <c r="I486" t="s">
        <v>242</v>
      </c>
      <c r="J486">
        <v>9</v>
      </c>
      <c r="K486" t="s">
        <v>281</v>
      </c>
      <c r="L486" t="s">
        <v>281</v>
      </c>
      <c r="M486" t="s">
        <v>281</v>
      </c>
      <c r="R486" t="s">
        <v>195</v>
      </c>
      <c r="S486" t="s">
        <v>25</v>
      </c>
      <c r="T486" t="s">
        <v>31</v>
      </c>
      <c r="U486" t="s">
        <v>212</v>
      </c>
      <c r="W486" s="1">
        <v>3.5999999999999998E-8</v>
      </c>
      <c r="X486" s="2"/>
      <c r="Z486" s="2">
        <f t="shared" si="78"/>
        <v>0.95</v>
      </c>
      <c r="AA486" t="s">
        <v>21</v>
      </c>
      <c r="AB486" t="s">
        <v>285</v>
      </c>
    </row>
    <row r="487" spans="1:28" x14ac:dyDescent="0.35">
      <c r="A487" t="s">
        <v>169</v>
      </c>
      <c r="B487" t="s">
        <v>9</v>
      </c>
      <c r="C487" t="s">
        <v>10</v>
      </c>
      <c r="D487" t="s">
        <v>11</v>
      </c>
      <c r="E487" t="s">
        <v>12</v>
      </c>
      <c r="F487" t="s">
        <v>13</v>
      </c>
      <c r="G487" t="s">
        <v>13</v>
      </c>
      <c r="H487" t="s">
        <v>13</v>
      </c>
      <c r="I487" t="s">
        <v>242</v>
      </c>
      <c r="J487">
        <f>+AVERAGE(6,13)</f>
        <v>9.5</v>
      </c>
      <c r="K487" t="s">
        <v>276</v>
      </c>
      <c r="L487" t="s">
        <v>202</v>
      </c>
      <c r="M487" t="s">
        <v>243</v>
      </c>
      <c r="R487" t="s">
        <v>194</v>
      </c>
      <c r="S487" t="s">
        <v>25</v>
      </c>
      <c r="T487" t="s">
        <v>31</v>
      </c>
      <c r="U487" t="s">
        <v>211</v>
      </c>
      <c r="W487" s="1">
        <v>4.0000000000000002E-9</v>
      </c>
      <c r="X487">
        <f>+AVERAGE(0.9,1.8)</f>
        <v>1.35</v>
      </c>
      <c r="Z487" s="2">
        <f>+AVERAGE(0.345,0.445)</f>
        <v>0.39500000000000002</v>
      </c>
      <c r="AA487" t="s">
        <v>21</v>
      </c>
      <c r="AB487" t="s">
        <v>285</v>
      </c>
    </row>
    <row r="488" spans="1:28" x14ac:dyDescent="0.35">
      <c r="A488" t="s">
        <v>169</v>
      </c>
      <c r="B488" t="s">
        <v>9</v>
      </c>
      <c r="C488" t="s">
        <v>10</v>
      </c>
      <c r="D488" t="s">
        <v>11</v>
      </c>
      <c r="E488" t="s">
        <v>12</v>
      </c>
      <c r="F488" t="s">
        <v>13</v>
      </c>
      <c r="G488" t="s">
        <v>13</v>
      </c>
      <c r="H488" t="s">
        <v>13</v>
      </c>
      <c r="I488" t="s">
        <v>242</v>
      </c>
      <c r="J488">
        <f t="shared" ref="J488:J498" si="79">+AVERAGE(6,13)</f>
        <v>9.5</v>
      </c>
      <c r="K488" t="s">
        <v>276</v>
      </c>
      <c r="L488" t="s">
        <v>202</v>
      </c>
      <c r="M488" t="s">
        <v>243</v>
      </c>
      <c r="R488" t="s">
        <v>193</v>
      </c>
      <c r="S488" t="s">
        <v>25</v>
      </c>
      <c r="T488" t="s">
        <v>31</v>
      </c>
      <c r="U488" t="s">
        <v>211</v>
      </c>
      <c r="W488" s="1">
        <v>8.0000000000000005E-9</v>
      </c>
      <c r="X488">
        <f t="shared" ref="X488:X498" si="80">+AVERAGE(0.9,1.8)</f>
        <v>1.35</v>
      </c>
      <c r="Z488" s="2">
        <f t="shared" ref="Z488:Z498" si="81">+AVERAGE(0.345,0.445)</f>
        <v>0.39500000000000002</v>
      </c>
      <c r="AA488" t="s">
        <v>21</v>
      </c>
      <c r="AB488" t="s">
        <v>285</v>
      </c>
    </row>
    <row r="489" spans="1:28" x14ac:dyDescent="0.35">
      <c r="A489" t="s">
        <v>169</v>
      </c>
      <c r="B489" t="s">
        <v>9</v>
      </c>
      <c r="C489" t="s">
        <v>10</v>
      </c>
      <c r="D489" t="s">
        <v>11</v>
      </c>
      <c r="E489" t="s">
        <v>12</v>
      </c>
      <c r="F489" t="s">
        <v>13</v>
      </c>
      <c r="G489" t="s">
        <v>13</v>
      </c>
      <c r="H489" t="s">
        <v>13</v>
      </c>
      <c r="I489" t="s">
        <v>242</v>
      </c>
      <c r="J489">
        <f t="shared" si="79"/>
        <v>9.5</v>
      </c>
      <c r="K489" t="s">
        <v>276</v>
      </c>
      <c r="L489" t="s">
        <v>202</v>
      </c>
      <c r="M489" t="s">
        <v>243</v>
      </c>
      <c r="R489" t="s">
        <v>195</v>
      </c>
      <c r="S489" t="s">
        <v>25</v>
      </c>
      <c r="T489" t="s">
        <v>31</v>
      </c>
      <c r="U489" t="s">
        <v>211</v>
      </c>
      <c r="W489" s="1">
        <v>1.3000000000000001E-8</v>
      </c>
      <c r="X489">
        <f t="shared" si="80"/>
        <v>1.35</v>
      </c>
      <c r="Z489" s="2">
        <f t="shared" si="81"/>
        <v>0.39500000000000002</v>
      </c>
      <c r="AA489" t="s">
        <v>21</v>
      </c>
      <c r="AB489" t="s">
        <v>285</v>
      </c>
    </row>
    <row r="490" spans="1:28" x14ac:dyDescent="0.35">
      <c r="A490" t="s">
        <v>169</v>
      </c>
      <c r="B490" t="s">
        <v>9</v>
      </c>
      <c r="C490" t="s">
        <v>10</v>
      </c>
      <c r="D490" t="s">
        <v>11</v>
      </c>
      <c r="E490" t="s">
        <v>12</v>
      </c>
      <c r="F490" t="s">
        <v>13</v>
      </c>
      <c r="G490" t="s">
        <v>13</v>
      </c>
      <c r="H490" t="s">
        <v>13</v>
      </c>
      <c r="I490" t="s">
        <v>242</v>
      </c>
      <c r="J490">
        <f t="shared" si="79"/>
        <v>9.5</v>
      </c>
      <c r="K490" t="s">
        <v>276</v>
      </c>
      <c r="L490" t="s">
        <v>203</v>
      </c>
      <c r="M490" t="s">
        <v>243</v>
      </c>
      <c r="R490" t="s">
        <v>194</v>
      </c>
      <c r="S490" t="s">
        <v>25</v>
      </c>
      <c r="T490" t="s">
        <v>31</v>
      </c>
      <c r="U490" t="s">
        <v>211</v>
      </c>
      <c r="W490" s="1">
        <v>3E-9</v>
      </c>
      <c r="X490">
        <f t="shared" si="80"/>
        <v>1.35</v>
      </c>
      <c r="Z490" s="2">
        <f t="shared" si="81"/>
        <v>0.39500000000000002</v>
      </c>
      <c r="AA490" t="s">
        <v>21</v>
      </c>
      <c r="AB490" t="s">
        <v>285</v>
      </c>
    </row>
    <row r="491" spans="1:28" x14ac:dyDescent="0.35">
      <c r="A491" t="s">
        <v>169</v>
      </c>
      <c r="B491" t="s">
        <v>9</v>
      </c>
      <c r="C491" t="s">
        <v>10</v>
      </c>
      <c r="D491" t="s">
        <v>11</v>
      </c>
      <c r="E491" t="s">
        <v>12</v>
      </c>
      <c r="F491" t="s">
        <v>13</v>
      </c>
      <c r="G491" t="s">
        <v>13</v>
      </c>
      <c r="H491" t="s">
        <v>13</v>
      </c>
      <c r="I491" t="s">
        <v>242</v>
      </c>
      <c r="J491">
        <f t="shared" si="79"/>
        <v>9.5</v>
      </c>
      <c r="K491" t="s">
        <v>276</v>
      </c>
      <c r="L491" t="s">
        <v>203</v>
      </c>
      <c r="M491" t="s">
        <v>243</v>
      </c>
      <c r="R491" t="s">
        <v>193</v>
      </c>
      <c r="S491" t="s">
        <v>25</v>
      </c>
      <c r="T491" t="s">
        <v>31</v>
      </c>
      <c r="U491" t="s">
        <v>211</v>
      </c>
      <c r="W491" s="1">
        <v>6E-9</v>
      </c>
      <c r="X491">
        <f t="shared" si="80"/>
        <v>1.35</v>
      </c>
      <c r="Z491" s="2">
        <f t="shared" si="81"/>
        <v>0.39500000000000002</v>
      </c>
      <c r="AA491" t="s">
        <v>21</v>
      </c>
      <c r="AB491" t="s">
        <v>285</v>
      </c>
    </row>
    <row r="492" spans="1:28" x14ac:dyDescent="0.35">
      <c r="A492" t="s">
        <v>169</v>
      </c>
      <c r="B492" t="s">
        <v>9</v>
      </c>
      <c r="C492" t="s">
        <v>10</v>
      </c>
      <c r="D492" t="s">
        <v>11</v>
      </c>
      <c r="E492" t="s">
        <v>12</v>
      </c>
      <c r="F492" t="s">
        <v>13</v>
      </c>
      <c r="G492" t="s">
        <v>13</v>
      </c>
      <c r="H492" t="s">
        <v>13</v>
      </c>
      <c r="I492" t="s">
        <v>242</v>
      </c>
      <c r="J492">
        <f t="shared" si="79"/>
        <v>9.5</v>
      </c>
      <c r="K492" t="s">
        <v>276</v>
      </c>
      <c r="L492" t="s">
        <v>203</v>
      </c>
      <c r="M492" t="s">
        <v>243</v>
      </c>
      <c r="R492" t="s">
        <v>195</v>
      </c>
      <c r="S492" t="s">
        <v>25</v>
      </c>
      <c r="T492" t="s">
        <v>31</v>
      </c>
      <c r="U492" t="s">
        <v>211</v>
      </c>
      <c r="W492" s="1">
        <v>8.0000000000000005E-9</v>
      </c>
      <c r="X492">
        <f t="shared" si="80"/>
        <v>1.35</v>
      </c>
      <c r="Z492" s="2">
        <f t="shared" si="81"/>
        <v>0.39500000000000002</v>
      </c>
      <c r="AA492" t="s">
        <v>21</v>
      </c>
      <c r="AB492" t="s">
        <v>285</v>
      </c>
    </row>
    <row r="493" spans="1:28" x14ac:dyDescent="0.35">
      <c r="A493" t="s">
        <v>169</v>
      </c>
      <c r="B493" t="s">
        <v>9</v>
      </c>
      <c r="C493" t="s">
        <v>10</v>
      </c>
      <c r="D493" t="s">
        <v>11</v>
      </c>
      <c r="E493" t="s">
        <v>12</v>
      </c>
      <c r="F493" t="s">
        <v>13</v>
      </c>
      <c r="G493" t="s">
        <v>13</v>
      </c>
      <c r="H493" t="s">
        <v>13</v>
      </c>
      <c r="I493" t="s">
        <v>242</v>
      </c>
      <c r="J493">
        <f t="shared" si="79"/>
        <v>9.5</v>
      </c>
      <c r="K493" t="s">
        <v>276</v>
      </c>
      <c r="L493" t="s">
        <v>203</v>
      </c>
      <c r="M493" t="s">
        <v>243</v>
      </c>
      <c r="R493" t="s">
        <v>194</v>
      </c>
      <c r="S493" t="s">
        <v>25</v>
      </c>
      <c r="T493" t="s">
        <v>31</v>
      </c>
      <c r="U493" t="s">
        <v>212</v>
      </c>
      <c r="W493" s="1">
        <v>5.0000000000000001E-9</v>
      </c>
      <c r="X493">
        <f t="shared" si="80"/>
        <v>1.35</v>
      </c>
      <c r="Z493" s="2">
        <f t="shared" si="81"/>
        <v>0.39500000000000002</v>
      </c>
      <c r="AA493" t="s">
        <v>21</v>
      </c>
      <c r="AB493" t="s">
        <v>285</v>
      </c>
    </row>
    <row r="494" spans="1:28" x14ac:dyDescent="0.35">
      <c r="A494" t="s">
        <v>169</v>
      </c>
      <c r="B494" t="s">
        <v>9</v>
      </c>
      <c r="C494" t="s">
        <v>10</v>
      </c>
      <c r="D494" t="s">
        <v>11</v>
      </c>
      <c r="E494" t="s">
        <v>12</v>
      </c>
      <c r="F494" t="s">
        <v>13</v>
      </c>
      <c r="G494" t="s">
        <v>13</v>
      </c>
      <c r="H494" t="s">
        <v>13</v>
      </c>
      <c r="I494" t="s">
        <v>242</v>
      </c>
      <c r="J494">
        <f t="shared" si="79"/>
        <v>9.5</v>
      </c>
      <c r="K494" t="s">
        <v>276</v>
      </c>
      <c r="L494" t="s">
        <v>203</v>
      </c>
      <c r="M494" t="s">
        <v>243</v>
      </c>
      <c r="R494" t="s">
        <v>193</v>
      </c>
      <c r="S494" t="s">
        <v>25</v>
      </c>
      <c r="T494" t="s">
        <v>31</v>
      </c>
      <c r="U494" t="s">
        <v>212</v>
      </c>
      <c r="W494" s="1">
        <v>2.2999999999999998E-8</v>
      </c>
      <c r="X494">
        <f t="shared" si="80"/>
        <v>1.35</v>
      </c>
      <c r="Z494" s="2">
        <f t="shared" si="81"/>
        <v>0.39500000000000002</v>
      </c>
      <c r="AA494" t="s">
        <v>21</v>
      </c>
      <c r="AB494" t="s">
        <v>285</v>
      </c>
    </row>
    <row r="495" spans="1:28" x14ac:dyDescent="0.35">
      <c r="A495" t="s">
        <v>169</v>
      </c>
      <c r="B495" t="s">
        <v>9</v>
      </c>
      <c r="C495" t="s">
        <v>10</v>
      </c>
      <c r="D495" t="s">
        <v>11</v>
      </c>
      <c r="E495" t="s">
        <v>12</v>
      </c>
      <c r="F495" t="s">
        <v>13</v>
      </c>
      <c r="G495" t="s">
        <v>13</v>
      </c>
      <c r="H495" t="s">
        <v>13</v>
      </c>
      <c r="I495" t="s">
        <v>242</v>
      </c>
      <c r="J495">
        <f t="shared" si="79"/>
        <v>9.5</v>
      </c>
      <c r="K495" t="s">
        <v>276</v>
      </c>
      <c r="L495" t="s">
        <v>203</v>
      </c>
      <c r="M495" t="s">
        <v>243</v>
      </c>
      <c r="R495" t="s">
        <v>195</v>
      </c>
      <c r="S495" t="s">
        <v>25</v>
      </c>
      <c r="T495" t="s">
        <v>31</v>
      </c>
      <c r="U495" t="s">
        <v>212</v>
      </c>
      <c r="W495" s="1">
        <v>4.3000000000000001E-8</v>
      </c>
      <c r="X495">
        <f t="shared" si="80"/>
        <v>1.35</v>
      </c>
      <c r="Z495" s="2">
        <f t="shared" si="81"/>
        <v>0.39500000000000002</v>
      </c>
      <c r="AA495" t="s">
        <v>21</v>
      </c>
      <c r="AB495" t="s">
        <v>285</v>
      </c>
    </row>
    <row r="496" spans="1:28" x14ac:dyDescent="0.35">
      <c r="A496" t="s">
        <v>169</v>
      </c>
      <c r="B496" t="s">
        <v>9</v>
      </c>
      <c r="C496" t="s">
        <v>10</v>
      </c>
      <c r="D496" t="s">
        <v>11</v>
      </c>
      <c r="E496" t="s">
        <v>12</v>
      </c>
      <c r="F496" t="s">
        <v>13</v>
      </c>
      <c r="G496" t="s">
        <v>13</v>
      </c>
      <c r="H496" t="s">
        <v>13</v>
      </c>
      <c r="I496" t="s">
        <v>242</v>
      </c>
      <c r="J496">
        <f t="shared" si="79"/>
        <v>9.5</v>
      </c>
      <c r="K496" t="s">
        <v>276</v>
      </c>
      <c r="L496" t="s">
        <v>204</v>
      </c>
      <c r="M496" t="s">
        <v>243</v>
      </c>
      <c r="R496" t="s">
        <v>194</v>
      </c>
      <c r="S496" t="s">
        <v>25</v>
      </c>
      <c r="T496" t="s">
        <v>31</v>
      </c>
      <c r="U496" t="s">
        <v>211</v>
      </c>
      <c r="W496" s="1">
        <v>6E-9</v>
      </c>
      <c r="X496">
        <f t="shared" si="80"/>
        <v>1.35</v>
      </c>
      <c r="Z496" s="2">
        <f t="shared" si="81"/>
        <v>0.39500000000000002</v>
      </c>
      <c r="AA496" t="s">
        <v>21</v>
      </c>
      <c r="AB496" t="s">
        <v>285</v>
      </c>
    </row>
    <row r="497" spans="1:28" x14ac:dyDescent="0.35">
      <c r="A497" t="s">
        <v>169</v>
      </c>
      <c r="B497" t="s">
        <v>9</v>
      </c>
      <c r="C497" t="s">
        <v>10</v>
      </c>
      <c r="D497" t="s">
        <v>11</v>
      </c>
      <c r="E497" t="s">
        <v>12</v>
      </c>
      <c r="F497" t="s">
        <v>13</v>
      </c>
      <c r="G497" t="s">
        <v>13</v>
      </c>
      <c r="H497" t="s">
        <v>13</v>
      </c>
      <c r="I497" t="s">
        <v>242</v>
      </c>
      <c r="J497">
        <f t="shared" si="79"/>
        <v>9.5</v>
      </c>
      <c r="K497" t="s">
        <v>276</v>
      </c>
      <c r="L497" t="s">
        <v>204</v>
      </c>
      <c r="M497" t="s">
        <v>243</v>
      </c>
      <c r="R497" t="s">
        <v>193</v>
      </c>
      <c r="S497" t="s">
        <v>25</v>
      </c>
      <c r="T497" t="s">
        <v>31</v>
      </c>
      <c r="U497" t="s">
        <v>211</v>
      </c>
      <c r="W497" s="1">
        <v>1.8999999999999998E-8</v>
      </c>
      <c r="X497">
        <f t="shared" si="80"/>
        <v>1.35</v>
      </c>
      <c r="Z497" s="2">
        <f t="shared" si="81"/>
        <v>0.39500000000000002</v>
      </c>
      <c r="AA497" t="s">
        <v>21</v>
      </c>
      <c r="AB497" t="s">
        <v>285</v>
      </c>
    </row>
    <row r="498" spans="1:28" x14ac:dyDescent="0.35">
      <c r="A498" t="s">
        <v>169</v>
      </c>
      <c r="B498" t="s">
        <v>9</v>
      </c>
      <c r="C498" t="s">
        <v>10</v>
      </c>
      <c r="D498" t="s">
        <v>11</v>
      </c>
      <c r="E498" t="s">
        <v>12</v>
      </c>
      <c r="F498" t="s">
        <v>13</v>
      </c>
      <c r="G498" t="s">
        <v>13</v>
      </c>
      <c r="H498" t="s">
        <v>13</v>
      </c>
      <c r="I498" t="s">
        <v>242</v>
      </c>
      <c r="J498">
        <f t="shared" si="79"/>
        <v>9.5</v>
      </c>
      <c r="K498" t="s">
        <v>276</v>
      </c>
      <c r="L498" t="s">
        <v>204</v>
      </c>
      <c r="M498" t="s">
        <v>243</v>
      </c>
      <c r="R498" t="s">
        <v>195</v>
      </c>
      <c r="S498" t="s">
        <v>25</v>
      </c>
      <c r="T498" t="s">
        <v>31</v>
      </c>
      <c r="U498" t="s">
        <v>211</v>
      </c>
      <c r="W498" s="1">
        <v>4.0000000000000001E-8</v>
      </c>
      <c r="X498">
        <f t="shared" si="80"/>
        <v>1.35</v>
      </c>
      <c r="Z498" s="2">
        <f t="shared" si="81"/>
        <v>0.39500000000000002</v>
      </c>
      <c r="AA498" t="s">
        <v>21</v>
      </c>
      <c r="AB498" t="s">
        <v>285</v>
      </c>
    </row>
  </sheetData>
  <autoFilter ref="A1:AB498" xr:uid="{4293B082-C322-4A78-B56F-A3AAFBFAC7A5}"/>
  <phoneticPr fontId="3"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Baca</dc:creator>
  <cp:lastModifiedBy>Juan Baca</cp:lastModifiedBy>
  <dcterms:created xsi:type="dcterms:W3CDTF">2022-09-20T13:59:18Z</dcterms:created>
  <dcterms:modified xsi:type="dcterms:W3CDTF">2023-11-20T17:28:31Z</dcterms:modified>
</cp:coreProperties>
</file>