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aca\sciebo\literature review\root_hydraulic_properties\database\"/>
    </mc:Choice>
  </mc:AlternateContent>
  <xr:revisionPtr revIDLastSave="0" documentId="13_ncr:1_{F381E733-5C64-420F-A010-23CA955293EE}" xr6:coauthVersionLast="47" xr6:coauthVersionMax="47" xr10:uidLastSave="{00000000-0000-0000-0000-000000000000}"/>
  <bookViews>
    <workbookView xWindow="28680" yWindow="-120" windowWidth="29040" windowHeight="15840" xr2:uid="{68F7FBDB-3529-443F-8504-FE5ACEFD3ACC}"/>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0" hidden="1">Sheet1!$A$1:$AD$285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69" i="1" l="1"/>
  <c r="Y264" i="1"/>
  <c r="Y67" i="1"/>
  <c r="Y66" i="1"/>
  <c r="V268" i="1" l="1"/>
  <c r="V267" i="1"/>
  <c r="V266" i="1"/>
  <c r="V265" i="1"/>
  <c r="V264" i="1"/>
  <c r="W264" i="1" s="1"/>
  <c r="J30" i="1" l="1"/>
  <c r="J29" i="1"/>
  <c r="J28" i="1"/>
  <c r="J27" i="1"/>
  <c r="J26" i="1"/>
  <c r="J25" i="1"/>
  <c r="J24" i="1"/>
  <c r="J23" i="1"/>
  <c r="J22" i="1"/>
  <c r="J21" i="1"/>
  <c r="J20" i="1"/>
  <c r="J19" i="1"/>
  <c r="J18" i="1"/>
  <c r="J17" i="1"/>
  <c r="V30" i="1"/>
  <c r="V28" i="1"/>
  <c r="V29" i="1"/>
  <c r="J16" i="1"/>
  <c r="V27" i="1"/>
  <c r="V26" i="1"/>
  <c r="V25" i="1"/>
  <c r="V24" i="1"/>
  <c r="V23" i="1"/>
  <c r="V22" i="1"/>
  <c r="V21" i="1"/>
  <c r="V20" i="1"/>
  <c r="V19" i="1"/>
  <c r="V18" i="1"/>
  <c r="V17" i="1"/>
  <c r="V16" i="1"/>
  <c r="V122" i="1" l="1"/>
  <c r="V121" i="1"/>
  <c r="V120" i="1"/>
  <c r="V119" i="1"/>
  <c r="J122" i="1"/>
  <c r="J121" i="1"/>
  <c r="J120" i="1"/>
  <c r="J119" i="1"/>
  <c r="V39" i="1" l="1"/>
  <c r="V38" i="1"/>
  <c r="V37" i="1" l="1"/>
  <c r="V260" i="1"/>
  <c r="V259" i="1"/>
  <c r="V258" i="1"/>
  <c r="V263" i="1"/>
  <c r="V262" i="1"/>
  <c r="V261" i="1"/>
  <c r="J254" i="1"/>
  <c r="J253" i="1"/>
  <c r="J252" i="1"/>
  <c r="J251" i="1"/>
  <c r="J250" i="1"/>
  <c r="J249" i="1"/>
  <c r="J248" i="1"/>
  <c r="J247" i="1"/>
  <c r="J246" i="1"/>
  <c r="J245" i="1"/>
  <c r="J244" i="1"/>
  <c r="J243" i="1"/>
  <c r="J242" i="1"/>
  <c r="J241" i="1"/>
  <c r="J156" i="1"/>
  <c r="J155" i="1"/>
  <c r="W208" i="1"/>
  <c r="W207" i="1"/>
  <c r="W161" i="1"/>
  <c r="W134" i="1"/>
  <c r="W133" i="1"/>
  <c r="W132" i="1"/>
  <c r="W131" i="1"/>
  <c r="W130" i="1"/>
  <c r="W129" i="1"/>
  <c r="W128" i="1"/>
  <c r="W127" i="1"/>
  <c r="W126" i="1"/>
  <c r="W125" i="1"/>
  <c r="W124" i="1"/>
  <c r="W123" i="1"/>
  <c r="AB118" i="1"/>
  <c r="W118" i="1"/>
  <c r="AB117" i="1"/>
  <c r="W117" i="1"/>
  <c r="AB116" i="1"/>
  <c r="W116" i="1"/>
  <c r="AB115" i="1"/>
  <c r="W115" i="1"/>
  <c r="AB114" i="1"/>
  <c r="W114" i="1"/>
  <c r="AB113" i="1"/>
  <c r="W113" i="1"/>
  <c r="AB112" i="1"/>
  <c r="W112" i="1"/>
  <c r="AB111" i="1"/>
  <c r="W111" i="1"/>
  <c r="AB110" i="1"/>
  <c r="W110" i="1"/>
  <c r="W107" i="1"/>
  <c r="W106" i="1"/>
  <c r="W105" i="1"/>
  <c r="W104" i="1"/>
  <c r="W103" i="1"/>
  <c r="W102" i="1"/>
  <c r="W101" i="1"/>
  <c r="W100" i="1"/>
  <c r="W99" i="1"/>
  <c r="W98" i="1"/>
  <c r="W97" i="1"/>
  <c r="W96" i="1"/>
  <c r="W95" i="1"/>
  <c r="W94" i="1"/>
  <c r="V285" i="1"/>
  <c r="V284" i="1"/>
  <c r="V283" i="1"/>
  <c r="V257" i="1"/>
  <c r="V256" i="1"/>
  <c r="V255" i="1"/>
  <c r="V254" i="1"/>
  <c r="V253" i="1"/>
  <c r="V252" i="1"/>
  <c r="V251" i="1"/>
  <c r="V250" i="1"/>
  <c r="V249" i="1"/>
  <c r="V248" i="1"/>
  <c r="V247" i="1"/>
  <c r="V246" i="1"/>
  <c r="V245" i="1"/>
  <c r="V244" i="1"/>
  <c r="V243" i="1"/>
  <c r="V242" i="1"/>
  <c r="V241" i="1"/>
  <c r="W236" i="1"/>
  <c r="W235" i="1"/>
  <c r="W234" i="1"/>
  <c r="W233" i="1"/>
  <c r="W232" i="1"/>
  <c r="W231" i="1"/>
  <c r="W230" i="1"/>
  <c r="W229" i="1"/>
  <c r="W228" i="1"/>
  <c r="W227" i="1"/>
  <c r="W220" i="1"/>
  <c r="W219" i="1"/>
  <c r="W218" i="1"/>
  <c r="W211" i="1"/>
  <c r="W210" i="1"/>
  <c r="W209" i="1"/>
  <c r="V206" i="1"/>
  <c r="V205" i="1"/>
  <c r="V204" i="1"/>
  <c r="V203" i="1"/>
  <c r="V197" i="1"/>
  <c r="V196" i="1"/>
  <c r="V195" i="1"/>
  <c r="V194" i="1"/>
  <c r="AB193" i="1"/>
  <c r="W193" i="1"/>
  <c r="AB192" i="1"/>
  <c r="W192" i="1"/>
  <c r="AB191" i="1"/>
  <c r="W191" i="1"/>
  <c r="AB190" i="1"/>
  <c r="W190" i="1"/>
  <c r="AB189" i="1"/>
  <c r="W189" i="1"/>
  <c r="AB188" i="1"/>
  <c r="W188" i="1"/>
  <c r="AB187" i="1"/>
  <c r="W187" i="1"/>
  <c r="AB186" i="1"/>
  <c r="W186" i="1"/>
  <c r="AB185" i="1"/>
  <c r="W185" i="1"/>
  <c r="AA184" i="1"/>
  <c r="V184" i="1"/>
  <c r="AA183" i="1"/>
  <c r="V183" i="1"/>
  <c r="AA182" i="1"/>
  <c r="V182" i="1"/>
  <c r="AA181" i="1"/>
  <c r="V181" i="1"/>
  <c r="AA180" i="1"/>
  <c r="V180" i="1"/>
  <c r="AA179" i="1"/>
  <c r="V179" i="1"/>
  <c r="AB170" i="1"/>
  <c r="W170" i="1"/>
  <c r="AB169" i="1"/>
  <c r="W169" i="1"/>
  <c r="AB168" i="1"/>
  <c r="W168" i="1"/>
  <c r="AB167" i="1"/>
  <c r="W167" i="1"/>
  <c r="AB166" i="1"/>
  <c r="W166" i="1"/>
  <c r="AB165" i="1"/>
  <c r="W165" i="1"/>
  <c r="V156" i="1"/>
  <c r="V155" i="1"/>
  <c r="V154" i="1"/>
  <c r="V153" i="1"/>
  <c r="V152" i="1"/>
  <c r="V151" i="1"/>
  <c r="V93" i="1"/>
  <c r="V92" i="1"/>
  <c r="V91" i="1"/>
  <c r="AB90" i="1"/>
  <c r="W90" i="1"/>
  <c r="AB89" i="1"/>
  <c r="W89" i="1"/>
  <c r="AB88" i="1"/>
  <c r="W88" i="1"/>
  <c r="V79" i="1"/>
  <c r="V78" i="1"/>
  <c r="V77" i="1"/>
  <c r="V76" i="1"/>
  <c r="V75" i="1"/>
  <c r="V74" i="1"/>
  <c r="V73" i="1"/>
  <c r="V72" i="1"/>
  <c r="V71" i="1"/>
  <c r="V70" i="1"/>
  <c r="V69" i="1"/>
  <c r="V68" i="1"/>
  <c r="W60" i="1"/>
  <c r="W59" i="1"/>
  <c r="W58" i="1"/>
  <c r="W57" i="1"/>
  <c r="W56" i="1"/>
  <c r="W55" i="1"/>
  <c r="W54" i="1"/>
  <c r="W52" i="1"/>
  <c r="W51" i="1"/>
  <c r="W50" i="1"/>
  <c r="W49" i="1"/>
  <c r="W48" i="1"/>
  <c r="V36" i="1"/>
  <c r="V35" i="1"/>
  <c r="V34" i="1"/>
  <c r="V33" i="1"/>
  <c r="V32" i="1"/>
  <c r="V31" i="1"/>
  <c r="Y203" i="1"/>
  <c r="Y204" i="1"/>
  <c r="Y205" i="1"/>
  <c r="Y206" i="1"/>
  <c r="Y258" i="1"/>
  <c r="Y259" i="1"/>
  <c r="Y260" i="1"/>
  <c r="Y261" i="1"/>
  <c r="Y262" i="1"/>
  <c r="Y263" i="1"/>
  <c r="Y275" i="1"/>
  <c r="Y276" i="1"/>
  <c r="Y277" i="1"/>
  <c r="Y278" i="1"/>
  <c r="Y279" i="1"/>
  <c r="Y280" i="1"/>
  <c r="Y281" i="1"/>
  <c r="Y282" i="1"/>
  <c r="V274" i="1" l="1"/>
  <c r="V273" i="1"/>
  <c r="V272" i="1"/>
  <c r="AA274" i="1"/>
  <c r="Y274" i="1" s="1"/>
  <c r="AA273" i="1"/>
  <c r="Y273" i="1" s="1"/>
  <c r="AA272" i="1"/>
  <c r="Y272" i="1" s="1"/>
  <c r="AA271" i="1"/>
  <c r="Y271" i="1" s="1"/>
  <c r="AA270" i="1"/>
  <c r="Y270" i="1" s="1"/>
  <c r="AA269" i="1"/>
  <c r="Y269" i="1" s="1"/>
  <c r="V270" i="1"/>
  <c r="V271" i="1"/>
  <c r="V269" i="1"/>
  <c r="W269" i="1" l="1"/>
  <c r="W270" i="1"/>
  <c r="W271" i="1"/>
  <c r="W272" i="1"/>
  <c r="W273" i="1"/>
  <c r="W274" i="1"/>
  <c r="J282" i="1" l="1"/>
  <c r="J281" i="1"/>
  <c r="J280" i="1"/>
  <c r="J279" i="1"/>
  <c r="J278" i="1"/>
  <c r="W222" i="1"/>
  <c r="W225" i="1"/>
  <c r="J226" i="1"/>
  <c r="J223" i="1"/>
  <c r="J220" i="1"/>
  <c r="W216" i="1"/>
  <c r="J217" i="1"/>
  <c r="J214" i="1"/>
  <c r="W213" i="1"/>
  <c r="J211" i="1"/>
  <c r="Z175" i="1"/>
  <c r="Z173" i="1"/>
  <c r="Z174" i="1"/>
  <c r="Z172" i="1"/>
  <c r="Z171" i="1"/>
  <c r="AA161" i="1"/>
  <c r="AA118" i="1"/>
  <c r="AA117" i="1"/>
  <c r="AA116" i="1"/>
  <c r="AA115" i="1"/>
  <c r="AA114" i="1"/>
  <c r="AA113" i="1"/>
  <c r="AA112" i="1"/>
  <c r="AA111" i="1"/>
  <c r="AA110" i="1"/>
  <c r="AA90" i="1"/>
  <c r="AA89" i="1"/>
  <c r="AA88" i="1"/>
  <c r="AA4" i="1" l="1"/>
  <c r="AA3" i="1"/>
  <c r="AA2" i="1"/>
  <c r="J41" i="1" l="1"/>
  <c r="J40" i="1"/>
  <c r="J148" i="1" l="1"/>
  <c r="J147" i="1"/>
  <c r="J146" i="1"/>
  <c r="J145" i="1"/>
  <c r="J144" i="1"/>
  <c r="J143" i="1"/>
  <c r="J142" i="1"/>
  <c r="J141" i="1"/>
  <c r="J140" i="1"/>
  <c r="J139" i="1"/>
  <c r="J138" i="1"/>
  <c r="J137" i="1"/>
  <c r="J136" i="1"/>
  <c r="J135" i="1"/>
  <c r="V67" i="1" l="1"/>
  <c r="W67" i="1" s="1"/>
  <c r="V66" i="1"/>
  <c r="W66" i="1" s="1"/>
  <c r="J263" i="1" l="1"/>
  <c r="J262" i="1"/>
  <c r="J261" i="1"/>
  <c r="J257" i="1"/>
  <c r="J256" i="1"/>
  <c r="J255" i="1"/>
  <c r="W199" i="1"/>
  <c r="W198" i="1"/>
  <c r="J197" i="1"/>
  <c r="J196" i="1"/>
  <c r="J195" i="1"/>
  <c r="J194" i="1"/>
  <c r="J39" i="1"/>
  <c r="J38" i="1"/>
  <c r="J37" i="1"/>
  <c r="AA285" i="1"/>
  <c r="Y285" i="1" s="1"/>
  <c r="AA284" i="1"/>
  <c r="Y284" i="1" s="1"/>
  <c r="AA283" i="1"/>
  <c r="Y283" i="1" s="1"/>
  <c r="W282" i="1"/>
  <c r="W281" i="1"/>
  <c r="W280" i="1"/>
  <c r="W279" i="1"/>
  <c r="W278" i="1"/>
  <c r="W277" i="1"/>
  <c r="W276" i="1"/>
  <c r="W275" i="1"/>
  <c r="Y254" i="1"/>
  <c r="Y253" i="1"/>
  <c r="Y252" i="1"/>
  <c r="Y251" i="1"/>
  <c r="Y250" i="1"/>
  <c r="Y249" i="1"/>
  <c r="Y248" i="1"/>
  <c r="Y247" i="1"/>
  <c r="Y246" i="1"/>
  <c r="Y245" i="1"/>
  <c r="Y244" i="1"/>
  <c r="Y243" i="1"/>
  <c r="Y242" i="1"/>
  <c r="Y241" i="1"/>
  <c r="Y240" i="1"/>
  <c r="W240" i="1" s="1"/>
  <c r="Y239" i="1"/>
  <c r="W239" i="1" s="1"/>
  <c r="Y238" i="1"/>
  <c r="W238" i="1" s="1"/>
  <c r="Y237" i="1"/>
  <c r="W237" i="1" s="1"/>
  <c r="Z160" i="1"/>
  <c r="Z159" i="1"/>
  <c r="Z158" i="1"/>
  <c r="Z157" i="1"/>
  <c r="AA81" i="1"/>
  <c r="AA82" i="1"/>
  <c r="AA83" i="1"/>
  <c r="AA84" i="1"/>
  <c r="AA85" i="1"/>
  <c r="AA86" i="1"/>
  <c r="AA87" i="1"/>
  <c r="AA80" i="1"/>
  <c r="W262" i="1" l="1"/>
  <c r="W261" i="1"/>
  <c r="W263" i="1"/>
  <c r="W206" i="1"/>
  <c r="J285" i="1" l="1"/>
  <c r="J284" i="1"/>
  <c r="J283" i="1"/>
  <c r="W285" i="1"/>
  <c r="W284" i="1"/>
  <c r="W283" i="1"/>
  <c r="J276" i="1"/>
  <c r="J275" i="1"/>
  <c r="J277" i="1"/>
  <c r="J240" i="1"/>
  <c r="J238" i="1"/>
  <c r="W260" i="1"/>
  <c r="W259" i="1"/>
  <c r="W258" i="1"/>
  <c r="W241" i="1"/>
  <c r="W242" i="1"/>
  <c r="W243" i="1"/>
  <c r="W244" i="1"/>
  <c r="W245" i="1"/>
  <c r="W246" i="1"/>
  <c r="W247" i="1"/>
  <c r="W248" i="1"/>
  <c r="W249" i="1"/>
  <c r="W250" i="1"/>
  <c r="W251" i="1"/>
  <c r="W252" i="1"/>
  <c r="W253" i="1"/>
  <c r="W254" i="1"/>
  <c r="J239" i="1"/>
  <c r="J237" i="1"/>
  <c r="J153" i="1" l="1"/>
  <c r="J152" i="1"/>
  <c r="J151" i="1"/>
  <c r="J236" i="1" l="1"/>
  <c r="J235" i="1"/>
  <c r="J234" i="1"/>
  <c r="J233" i="1"/>
  <c r="J232" i="1"/>
  <c r="J231" i="1"/>
  <c r="J230" i="1"/>
  <c r="J229" i="1"/>
  <c r="J228" i="1"/>
  <c r="J227" i="1"/>
  <c r="J225" i="1"/>
  <c r="J224" i="1"/>
  <c r="J222" i="1"/>
  <c r="J221" i="1"/>
  <c r="J219" i="1"/>
  <c r="J218" i="1"/>
  <c r="J216" i="1"/>
  <c r="J215" i="1"/>
  <c r="J213" i="1"/>
  <c r="J212" i="1"/>
  <c r="J210" i="1"/>
  <c r="J209" i="1"/>
  <c r="W205" i="1" l="1"/>
  <c r="W204" i="1"/>
  <c r="W203" i="1"/>
  <c r="J108" i="1"/>
  <c r="J87" i="1"/>
  <c r="J86" i="1"/>
  <c r="J85" i="1"/>
  <c r="J84" i="1"/>
  <c r="J83" i="1"/>
  <c r="J82" i="1"/>
  <c r="J81" i="1"/>
  <c r="J80" i="1"/>
  <c r="J67" i="1"/>
  <c r="J66" i="1" l="1"/>
  <c r="J15" i="1" l="1"/>
  <c r="J14" i="1"/>
  <c r="J13" i="1"/>
  <c r="J12" i="1"/>
  <c r="J11" i="1"/>
  <c r="J10" i="1"/>
  <c r="J9" i="1"/>
  <c r="J8" i="1"/>
  <c r="J7" i="1"/>
  <c r="J6"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Juan</author>
  </authors>
  <commentList>
    <comment ref="S1" authorId="0" shapeId="0" xr:uid="{8A73B673-898C-452F-A039-21E26914BCDF}">
      <text>
        <r>
          <rPr>
            <b/>
            <sz val="9"/>
            <color indexed="81"/>
            <rFont val="Tahoma"/>
            <family val="2"/>
          </rPr>
          <t>Juan Baca:</t>
        </r>
        <r>
          <rPr>
            <sz val="9"/>
            <color indexed="81"/>
            <rFont val="Tahoma"/>
            <family val="2"/>
          </rPr>
          <t xml:space="preserve">
entire root system, individual roots, specifi rot tipes (e.g. tap root vs lateral)...</t>
        </r>
      </text>
    </comment>
    <comment ref="T1" authorId="0" shapeId="0" xr:uid="{CA471EA6-C662-45C1-A518-0D80C8D1CF0E}">
      <text>
        <r>
          <rPr>
            <b/>
            <sz val="9"/>
            <color indexed="81"/>
            <rFont val="Tahoma"/>
            <family val="2"/>
          </rPr>
          <t>Juan Baca:</t>
        </r>
        <r>
          <rPr>
            <sz val="9"/>
            <color indexed="81"/>
            <rFont val="Tahoma"/>
            <family val="2"/>
          </rPr>
          <t xml:space="preserve">
for thwe case where longitudinal variation alongside individual roots was measured</t>
        </r>
      </text>
    </comment>
    <comment ref="Y1" authorId="0" shapeId="0" xr:uid="{69906E7F-51A9-4D8D-87FF-9D1678D8819B}">
      <text>
        <r>
          <rPr>
            <b/>
            <sz val="9"/>
            <color indexed="81"/>
            <rFont val="Tahoma"/>
            <family val="2"/>
          </rPr>
          <t>Juan Baca:</t>
        </r>
        <r>
          <rPr>
            <sz val="9"/>
            <color indexed="81"/>
            <rFont val="Tahoma"/>
            <family val="2"/>
          </rPr>
          <t xml:space="preserve">
this referes to the total cross sectional area -&gt; which is the important value for normalizing the axial conductance</t>
        </r>
      </text>
    </comment>
    <comment ref="Z1" authorId="0" shapeId="0" xr:uid="{5C68ED70-A143-435D-BCC1-2C8A09F6D0E8}">
      <text>
        <r>
          <rPr>
            <b/>
            <sz val="9"/>
            <color indexed="81"/>
            <rFont val="Tahoma"/>
            <family val="2"/>
          </rPr>
          <t>Juan Baca:</t>
        </r>
        <r>
          <rPr>
            <sz val="9"/>
            <color indexed="81"/>
            <rFont val="Tahoma"/>
            <family val="2"/>
          </rPr>
          <t xml:space="preserve">
this is usually calculated as the total root cross section, exluding bark and parenchymatic tissue (thus obtaining an aproximation of the total xylem area)</t>
        </r>
      </text>
    </comment>
    <comment ref="AB1" authorId="0" shapeId="0" xr:uid="{55A2E098-F893-4D6E-BE0E-6CB44765144A}">
      <text>
        <r>
          <rPr>
            <b/>
            <sz val="9"/>
            <color indexed="81"/>
            <rFont val="Tahoma"/>
            <family val="2"/>
          </rPr>
          <t>Juan Baca:</t>
        </r>
        <r>
          <rPr>
            <sz val="9"/>
            <color indexed="81"/>
            <rFont val="Tahoma"/>
            <family val="2"/>
          </rPr>
          <t xml:space="preserve">
average diamter of xylem conduits in a root cross section</t>
        </r>
      </text>
    </comment>
    <comment ref="J2" authorId="0" shapeId="0" xr:uid="{87E9B08D-1531-4FCC-86B8-351885F81234}">
      <text>
        <r>
          <rPr>
            <b/>
            <sz val="9"/>
            <color indexed="81"/>
            <rFont val="Tahoma"/>
            <family val="2"/>
          </rPr>
          <t>Juan Baca:</t>
        </r>
        <r>
          <rPr>
            <sz val="9"/>
            <color indexed="81"/>
            <rFont val="Tahoma"/>
            <family val="2"/>
          </rPr>
          <t xml:space="preserve">
no clear information about the age</t>
        </r>
      </text>
    </comment>
    <comment ref="W2" authorId="0" shapeId="0" xr:uid="{BBE71627-4299-4039-868E-40DAA8080068}">
      <text>
        <r>
          <rPr>
            <b/>
            <sz val="9"/>
            <color indexed="81"/>
            <rFont val="Tahoma"/>
            <family val="2"/>
          </rPr>
          <t>Juan Baca:</t>
        </r>
        <r>
          <rPr>
            <sz val="9"/>
            <color indexed="81"/>
            <rFont val="Tahoma"/>
            <family val="2"/>
          </rPr>
          <t xml:space="preserve">
all data from table 2</t>
        </r>
      </text>
    </comment>
    <comment ref="X2" authorId="0" shapeId="0" xr:uid="{49AD0D0B-FA8B-4DEE-AE86-F7E0A56F0E32}">
      <text>
        <r>
          <rPr>
            <b/>
            <sz val="9"/>
            <color indexed="81"/>
            <rFont val="Tahoma"/>
            <family val="2"/>
          </rPr>
          <t>Juan Baca:</t>
        </r>
        <r>
          <rPr>
            <sz val="9"/>
            <color indexed="81"/>
            <rFont val="Tahoma"/>
            <family val="2"/>
          </rPr>
          <t xml:space="preserve">
specific sapwood conductivity (Ks, kg·s−1·m−1·Mpa−1)
was obtained by dividing… (page 4)</t>
        </r>
      </text>
    </comment>
    <comment ref="AA2" authorId="0" shapeId="0" xr:uid="{04568FC0-265E-48D4-982B-20EFFECADDF5}">
      <text>
        <r>
          <rPr>
            <b/>
            <sz val="9"/>
            <color indexed="81"/>
            <rFont val="Tahoma"/>
            <family val="2"/>
          </rPr>
          <t>Juan Baca:</t>
        </r>
        <r>
          <rPr>
            <sz val="9"/>
            <color indexed="81"/>
            <rFont val="Tahoma"/>
            <family val="2"/>
          </rPr>
          <t xml:space="preserve">
 Roots (horizontal roots) with a diameter of 4–6 mm and a root length of 20–40  (page 3)</t>
        </r>
      </text>
    </comment>
    <comment ref="J5" authorId="0" shapeId="0" xr:uid="{86A67ABD-D779-4CE7-BB8E-C9A6C4F74B9C}">
      <text>
        <r>
          <rPr>
            <b/>
            <sz val="9"/>
            <color indexed="81"/>
            <rFont val="Tahoma"/>
            <family val="2"/>
          </rPr>
          <t>Juan Baca:</t>
        </r>
        <r>
          <rPr>
            <sz val="9"/>
            <color indexed="81"/>
            <rFont val="Tahoma"/>
            <family val="2"/>
          </rPr>
          <t xml:space="preserve">
2-4 year old seedling (page 562)</t>
        </r>
      </text>
    </comment>
    <comment ref="K5" authorId="0" shapeId="0" xr:uid="{BD42B2BF-E72D-4D00-93FF-3AF7B7565065}">
      <text>
        <r>
          <rPr>
            <b/>
            <sz val="9"/>
            <color indexed="81"/>
            <rFont val="Tahoma"/>
            <family val="2"/>
          </rPr>
          <t>Juan Baca:</t>
        </r>
        <r>
          <rPr>
            <sz val="9"/>
            <color indexed="81"/>
            <rFont val="Tahoma"/>
            <family val="2"/>
          </rPr>
          <t xml:space="preserve">
the experimental desgin is pretty unique but, in general, the effects of drought on embolism and hydrualic redistribution were tested; strangely, the ks values of the reference treatment (well watered) are not reported</t>
        </r>
      </text>
    </comment>
    <comment ref="S5" authorId="0" shapeId="0" xr:uid="{F96B6BC8-5405-44A1-9DE5-D874B99A3B20}">
      <text>
        <r>
          <rPr>
            <b/>
            <sz val="9"/>
            <color indexed="81"/>
            <rFont val="Tahoma"/>
            <family val="2"/>
          </rPr>
          <t>Juan Baca:</t>
        </r>
        <r>
          <rPr>
            <sz val="9"/>
            <color indexed="81"/>
            <rFont val="Tahoma"/>
            <family val="2"/>
          </rPr>
          <t xml:space="preserve">
no specification is given about which root types were used for the analysis</t>
        </r>
      </text>
    </comment>
    <comment ref="W5" authorId="0" shapeId="0" xr:uid="{23A4E882-D37F-4676-B89D-A136FF242029}">
      <text>
        <r>
          <rPr>
            <b/>
            <sz val="9"/>
            <color indexed="81"/>
            <rFont val="Tahoma"/>
            <family val="2"/>
          </rPr>
          <t>Juan Baca:</t>
        </r>
        <r>
          <rPr>
            <sz val="9"/>
            <color indexed="81"/>
            <rFont val="Tahoma"/>
            <family val="2"/>
          </rPr>
          <t xml:space="preserve">
data from table 5</t>
        </r>
      </text>
    </comment>
    <comment ref="X5" authorId="0" shapeId="0" xr:uid="{A49D1919-258B-42D1-975A-E1238945C734}">
      <text>
        <r>
          <rPr>
            <b/>
            <sz val="9"/>
            <color indexed="81"/>
            <rFont val="Tahoma"/>
            <family val="2"/>
          </rPr>
          <t>Juan Baca:</t>
        </r>
        <r>
          <rPr>
            <sz val="9"/>
            <color indexed="81"/>
            <rFont val="Tahoma"/>
            <family val="2"/>
          </rPr>
          <t xml:space="preserve">
in text this is defined as conductive area Acond -&gt; which results from all the xylem vessels conducting within the analysed cross section (page 565)</t>
        </r>
      </text>
    </comment>
    <comment ref="J10" authorId="0" shapeId="0" xr:uid="{3294ADC2-EF8B-4F56-B4B4-6CA36607727B}">
      <text>
        <r>
          <rPr>
            <b/>
            <sz val="9"/>
            <color indexed="81"/>
            <rFont val="Tahoma"/>
            <family val="2"/>
          </rPr>
          <t>Juan Baca:</t>
        </r>
        <r>
          <rPr>
            <sz val="9"/>
            <color indexed="81"/>
            <rFont val="Tahoma"/>
            <family val="2"/>
          </rPr>
          <t xml:space="preserve">
2-4 year old seedling (page 2)</t>
        </r>
      </text>
    </comment>
    <comment ref="S10" authorId="0" shapeId="0" xr:uid="{94BA1231-992A-4CD8-AA95-0DAD5766CC4C}">
      <text>
        <r>
          <rPr>
            <b/>
            <sz val="9"/>
            <color indexed="81"/>
            <rFont val="Tahoma"/>
            <family val="2"/>
          </rPr>
          <t>Juan Baca:</t>
        </r>
        <r>
          <rPr>
            <sz val="9"/>
            <color indexed="81"/>
            <rFont val="Tahoma"/>
            <family val="2"/>
          </rPr>
          <t xml:space="preserve">
We chose roots with a similar diameter (average diameter was 2.6 ± 0.7 mm) to the secondary roots used for
anatomical  measurements  (page 3)</t>
        </r>
      </text>
    </comment>
    <comment ref="W10" authorId="0" shapeId="0" xr:uid="{AB1024C3-10E3-4A9F-A6E9-5D4E3C662789}">
      <text>
        <r>
          <rPr>
            <b/>
            <sz val="9"/>
            <color indexed="81"/>
            <rFont val="Tahoma"/>
            <family val="2"/>
          </rPr>
          <t>Juan Baca:</t>
        </r>
        <r>
          <rPr>
            <sz val="9"/>
            <color indexed="81"/>
            <rFont val="Tahoma"/>
            <family val="2"/>
          </rPr>
          <t xml:space="preserve">
data from text (page 6)</t>
        </r>
      </text>
    </comment>
    <comment ref="AA10" authorId="0" shapeId="0" xr:uid="{31A5818F-09CF-4D7C-B2C7-CB743BC5387D}">
      <text>
        <r>
          <rPr>
            <b/>
            <sz val="9"/>
            <color indexed="81"/>
            <rFont val="Tahoma"/>
            <family val="2"/>
          </rPr>
          <t>Juan Baca:</t>
        </r>
        <r>
          <rPr>
            <sz val="9"/>
            <color indexed="81"/>
            <rFont val="Tahoma"/>
            <family val="2"/>
          </rPr>
          <t xml:space="preserve">
We chose roots with a similar diameter (average diameter was 2.6 ± 0.7 mm) to the secondary roots used for
anatomical  measurements  (page 3)</t>
        </r>
      </text>
    </comment>
    <comment ref="J16" authorId="0" shapeId="0" xr:uid="{2D71A0BC-9618-494E-8B14-7A256D736FB6}">
      <text>
        <r>
          <rPr>
            <b/>
            <sz val="9"/>
            <color indexed="81"/>
            <rFont val="Tahoma"/>
            <charset val="1"/>
          </rPr>
          <t>Juan Baca:</t>
        </r>
        <r>
          <rPr>
            <sz val="9"/>
            <color indexed="81"/>
            <rFont val="Tahoma"/>
            <charset val="1"/>
          </rPr>
          <t xml:space="preserve">
When plants were seven-week old, the containers were opened from one side and roots were carefully washed from the soil. Unbranched segments of
different root types of maize (lateral, seminal, crown, and brace roots)
and lateral roots of lupine were excised and connected to a pressure
probe to measure their hydraulic properties (page 32)</t>
        </r>
      </text>
    </comment>
    <comment ref="T16" authorId="0" shapeId="0" xr:uid="{42261A7E-8797-4D24-AEB3-292161E95128}">
      <text>
        <r>
          <rPr>
            <b/>
            <sz val="9"/>
            <color indexed="81"/>
            <rFont val="Tahoma"/>
            <charset val="1"/>
          </rPr>
          <t>Juan Baca:</t>
        </r>
        <r>
          <rPr>
            <sz val="9"/>
            <color indexed="81"/>
            <rFont val="Tahoma"/>
            <charset val="1"/>
          </rPr>
          <t xml:space="preserve">
root section defined on distance steps in Figure 4c</t>
        </r>
      </text>
    </comment>
    <comment ref="AA16" authorId="0" shapeId="0" xr:uid="{0F2023CF-675B-44F3-B661-067E1464CD9C}">
      <text>
        <r>
          <rPr>
            <b/>
            <sz val="9"/>
            <color indexed="81"/>
            <rFont val="Tahoma"/>
            <charset val="1"/>
          </rPr>
          <t>Juan Baca:</t>
        </r>
        <r>
          <rPr>
            <sz val="9"/>
            <color indexed="81"/>
            <rFont val="Tahoma"/>
            <charset val="1"/>
          </rPr>
          <t xml:space="preserve">
data from text (page 35)</t>
        </r>
      </text>
    </comment>
    <comment ref="J31" authorId="0" shapeId="0" xr:uid="{39B69D2C-4EA8-48AA-A4E2-55F05EB74EDA}">
      <text>
        <r>
          <rPr>
            <b/>
            <sz val="9"/>
            <color indexed="81"/>
            <rFont val="Tahoma"/>
            <family val="2"/>
          </rPr>
          <t>Juan Baca:</t>
        </r>
        <r>
          <rPr>
            <sz val="9"/>
            <color indexed="81"/>
            <rFont val="Tahoma"/>
            <family val="2"/>
          </rPr>
          <t xml:space="preserve">
The plants were 5 weeks old when the neutron
radiography measurements started.(page 1200)</t>
        </r>
      </text>
    </comment>
    <comment ref="T31" authorId="0" shapeId="0" xr:uid="{E526F274-A1EF-43D2-8105-87116B4B9CE6}">
      <text>
        <r>
          <rPr>
            <b/>
            <sz val="9"/>
            <color indexed="81"/>
            <rFont val="Tahoma"/>
            <family val="2"/>
          </rPr>
          <t>Juan Baca:</t>
        </r>
        <r>
          <rPr>
            <sz val="9"/>
            <color indexed="81"/>
            <rFont val="Tahoma"/>
            <family val="2"/>
          </rPr>
          <t xml:space="preserve">
arbitratry defined as &lt;15cm, &lt;35 cm and &gt;35cm</t>
        </r>
      </text>
    </comment>
    <comment ref="J37" authorId="0" shapeId="0" xr:uid="{23E4AE75-39DC-4E85-8944-7282C367AE35}">
      <text>
        <r>
          <rPr>
            <b/>
            <sz val="9"/>
            <color indexed="81"/>
            <rFont val="Tahoma"/>
            <family val="2"/>
          </rPr>
          <t>Juan Baca:</t>
        </r>
        <r>
          <rPr>
            <sz val="9"/>
            <color indexed="81"/>
            <rFont val="Tahoma"/>
            <family val="2"/>
          </rPr>
          <t xml:space="preserve">
The plants used in
the experiments were grown for 16–20 d, including the germination period (page 630)</t>
        </r>
      </text>
    </comment>
    <comment ref="T37" authorId="0" shapeId="0" xr:uid="{95837CE4-614A-4B5F-8BB0-DAC0BCF756FF}">
      <text>
        <r>
          <rPr>
            <b/>
            <sz val="9"/>
            <color indexed="81"/>
            <rFont val="Tahoma"/>
            <family val="2"/>
          </rPr>
          <t>Juan Baca:</t>
        </r>
        <r>
          <rPr>
            <sz val="9"/>
            <color indexed="81"/>
            <rFont val="Tahoma"/>
            <family val="2"/>
          </rPr>
          <t xml:space="preserve">
arbitrary defined as &lt;10 cm, &lt;20cm and &gt;20cm</t>
        </r>
      </text>
    </comment>
    <comment ref="J40" authorId="0" shapeId="0" xr:uid="{E82F0227-3AAF-4729-9620-F326B9E66ED3}">
      <text>
        <r>
          <rPr>
            <b/>
            <sz val="9"/>
            <color indexed="81"/>
            <rFont val="Tahoma"/>
            <family val="2"/>
          </rPr>
          <t>Juan Baca:</t>
        </r>
        <r>
          <rPr>
            <sz val="9"/>
            <color indexed="81"/>
            <rFont val="Tahoma"/>
            <family val="2"/>
          </rPr>
          <t xml:space="preserve">
This experiment was conducted with 2-year-old seedlings of U. laevis and U. minor (page 837)</t>
        </r>
      </text>
    </comment>
    <comment ref="W40" authorId="0" shapeId="0" xr:uid="{27521A6B-DD6F-48A3-AF9B-C3A9349AD743}">
      <text>
        <r>
          <rPr>
            <b/>
            <sz val="9"/>
            <color indexed="81"/>
            <rFont val="Tahoma"/>
            <family val="2"/>
          </rPr>
          <t>Juan Baca:</t>
        </r>
        <r>
          <rPr>
            <sz val="9"/>
            <color indexed="81"/>
            <rFont val="Tahoma"/>
            <family val="2"/>
          </rPr>
          <t xml:space="preserve">
Maximum hydraulic conductivity (Kmax) of root was similar
in flooded and control plants of both species (on average
7.3 kg m-1 s-1 MPa-1 for U. laevis and 9.8 kg m-1 s-1 MPa-1 for U. minor) (page 839</t>
        </r>
      </text>
    </comment>
    <comment ref="X40" authorId="0" shapeId="0" xr:uid="{D81AFA78-5E15-4F98-AD33-6C0E0EB940D5}">
      <text>
        <r>
          <rPr>
            <b/>
            <sz val="9"/>
            <color indexed="81"/>
            <rFont val="Tahoma"/>
            <family val="2"/>
          </rPr>
          <t>Juan Baca:</t>
        </r>
        <r>
          <rPr>
            <sz val="9"/>
            <color indexed="81"/>
            <rFont val="Tahoma"/>
            <family val="2"/>
          </rPr>
          <t xml:space="preserve">
removing the bark before
measuring (page 838)</t>
        </r>
      </text>
    </comment>
    <comment ref="J42" authorId="0" shapeId="0" xr:uid="{4E7B6B7E-8F0A-4C00-932C-DDE732BBFE37}">
      <text>
        <r>
          <rPr>
            <b/>
            <sz val="9"/>
            <color indexed="81"/>
            <rFont val="Tahoma"/>
            <family val="2"/>
          </rPr>
          <t>Juan Baca:</t>
        </r>
        <r>
          <rPr>
            <sz val="9"/>
            <color indexed="81"/>
            <rFont val="Tahoma"/>
            <family val="2"/>
          </rPr>
          <t xml:space="preserve">
Mature trees. No age is given in the methods</t>
        </r>
      </text>
    </comment>
    <comment ref="S42" authorId="0" shapeId="0" xr:uid="{9870639D-AA82-4336-B152-7BA5B3C38E90}">
      <text>
        <r>
          <rPr>
            <b/>
            <sz val="9"/>
            <color indexed="81"/>
            <rFont val="Tahoma"/>
            <family val="2"/>
          </rPr>
          <t>Juan Baca:</t>
        </r>
        <r>
          <rPr>
            <sz val="9"/>
            <color indexed="81"/>
            <rFont val="Tahoma"/>
            <family val="2"/>
          </rPr>
          <t xml:space="preserve">
no specification is given about which root types were used for the analysis</t>
        </r>
      </text>
    </comment>
    <comment ref="W42" authorId="0" shapeId="0" xr:uid="{DF1DBD6C-D443-46F9-AAA5-0FD477F62271}">
      <text>
        <r>
          <rPr>
            <b/>
            <sz val="9"/>
            <color indexed="81"/>
            <rFont val="Tahoma"/>
            <family val="2"/>
          </rPr>
          <t>Juan Baca:</t>
        </r>
        <r>
          <rPr>
            <sz val="9"/>
            <color indexed="81"/>
            <rFont val="Tahoma"/>
            <family val="2"/>
          </rPr>
          <t xml:space="preserve">
all data from table A2 in Supplement</t>
        </r>
      </text>
    </comment>
    <comment ref="X42" authorId="0" shapeId="0" xr:uid="{251960E7-EB18-4363-9ACD-13D9B37A03C7}">
      <text>
        <r>
          <rPr>
            <b/>
            <sz val="9"/>
            <color indexed="81"/>
            <rFont val="Tahoma"/>
            <family val="2"/>
          </rPr>
          <t>Juan Baca:</t>
        </r>
        <r>
          <rPr>
            <sz val="9"/>
            <color indexed="81"/>
            <rFont val="Tahoma"/>
            <family val="2"/>
          </rPr>
          <t xml:space="preserve">
Empirical sapwood area-specific hydraulic conductivity (KSemp,
kg m−1 MPa−1 s−1) was calculated by dividing Khemp by the calculated mean xylem cross-sectional area without pith and bark (page 4)</t>
        </r>
      </text>
    </comment>
    <comment ref="AA42" authorId="0" shapeId="0" xr:uid="{77E878EE-0B97-4A57-BD75-153403111BC8}">
      <text>
        <r>
          <rPr>
            <b/>
            <sz val="9"/>
            <color indexed="81"/>
            <rFont val="Tahoma"/>
            <family val="2"/>
          </rPr>
          <t>Juan Baca:</t>
        </r>
        <r>
          <rPr>
            <sz val="9"/>
            <color indexed="81"/>
            <rFont val="Tahoma"/>
            <family val="2"/>
          </rPr>
          <t xml:space="preserve">
n total, 44 root and 39
branch segments were analyzed (mean root segment length
± SE: 291 ± 7.0 mm and diameter: 7.87 ± 0.25 mm (page 4)</t>
        </r>
      </text>
    </comment>
    <comment ref="J48" authorId="0" shapeId="0" xr:uid="{848F43A0-70F7-4808-8B50-E436F5D207C5}">
      <text>
        <r>
          <rPr>
            <b/>
            <sz val="9"/>
            <color indexed="81"/>
            <rFont val="Tahoma"/>
            <family val="2"/>
          </rPr>
          <t>Juan Baca:</t>
        </r>
        <r>
          <rPr>
            <sz val="9"/>
            <color indexed="81"/>
            <rFont val="Tahoma"/>
            <family val="2"/>
          </rPr>
          <t xml:space="preserve">
Adult trees. No age is given in the methods</t>
        </r>
      </text>
    </comment>
    <comment ref="X48" authorId="0" shapeId="0" xr:uid="{DC8D0CE4-35BC-474F-96F9-FF6E57ED0D86}">
      <text>
        <r>
          <rPr>
            <b/>
            <sz val="9"/>
            <color indexed="81"/>
            <rFont val="Tahoma"/>
            <family val="2"/>
          </rPr>
          <t>Juan Baca:</t>
        </r>
        <r>
          <rPr>
            <sz val="9"/>
            <color indexed="81"/>
            <rFont val="Tahoma"/>
            <family val="2"/>
          </rPr>
          <t xml:space="preserve">
ksemp, in kg m−1 MPa−1 s−1) was calculated by dividing khemp by the microscopically determined xylem
cross-sectional area (unit: m2) without pith and bark (page 164)</t>
        </r>
      </text>
    </comment>
    <comment ref="AA48" authorId="0" shapeId="0" xr:uid="{78101E48-6936-47F0-9E41-F01808912ED9}">
      <text>
        <r>
          <rPr>
            <b/>
            <sz val="9"/>
            <color indexed="81"/>
            <rFont val="Tahoma"/>
            <family val="2"/>
          </rPr>
          <t>Juan Baca:</t>
        </r>
        <r>
          <rPr>
            <sz val="9"/>
            <color indexed="81"/>
            <rFont val="Tahoma"/>
            <family val="2"/>
          </rPr>
          <t xml:space="preserve">
Small roots (mean
diameter of sample: 4.3 mm)  (page 163)</t>
        </r>
      </text>
    </comment>
    <comment ref="AB48" authorId="0" shapeId="0" xr:uid="{EFC763A4-B4DD-4604-AB72-9E34A1BED303}">
      <text>
        <r>
          <rPr>
            <b/>
            <sz val="9"/>
            <color indexed="81"/>
            <rFont val="Tahoma"/>
            <family val="2"/>
          </rPr>
          <t>Juan Baca:</t>
        </r>
        <r>
          <rPr>
            <sz val="9"/>
            <color indexed="81"/>
            <rFont val="Tahoma"/>
            <family val="2"/>
          </rPr>
          <t xml:space="preserve">
data form Table 4</t>
        </r>
      </text>
    </comment>
    <comment ref="J53" authorId="0" shapeId="0" xr:uid="{25B77515-AF2C-4C27-9C73-06F373C25CF3}">
      <text>
        <r>
          <rPr>
            <b/>
            <sz val="9"/>
            <color indexed="81"/>
            <rFont val="Tahoma"/>
            <family val="2"/>
          </rPr>
          <t>Juan Baca:</t>
        </r>
        <r>
          <rPr>
            <sz val="9"/>
            <color indexed="81"/>
            <rFont val="Tahoma"/>
            <family val="2"/>
          </rPr>
          <t xml:space="preserve">
no information about root age; field measurements</t>
        </r>
      </text>
    </comment>
    <comment ref="W53" authorId="0" shapeId="0" xr:uid="{AADA1FA9-0A7E-402C-9594-320A903D063C}">
      <text>
        <r>
          <rPr>
            <b/>
            <sz val="9"/>
            <color indexed="81"/>
            <rFont val="Tahoma"/>
            <family val="2"/>
          </rPr>
          <t>Juan Baca:</t>
        </r>
        <r>
          <rPr>
            <sz val="9"/>
            <color indexed="81"/>
            <rFont val="Tahoma"/>
            <family val="2"/>
          </rPr>
          <t xml:space="preserve">
all data from table 2</t>
        </r>
      </text>
    </comment>
    <comment ref="X53" authorId="0" shapeId="0" xr:uid="{4E9465BA-E81D-49EB-A766-1E8D0A984BA7}">
      <text>
        <r>
          <rPr>
            <b/>
            <sz val="9"/>
            <color indexed="81"/>
            <rFont val="Tahoma"/>
            <family val="2"/>
          </rPr>
          <t>Juan Baca:</t>
        </r>
        <r>
          <rPr>
            <sz val="9"/>
            <color indexed="81"/>
            <rFont val="Tahoma"/>
            <family val="2"/>
          </rPr>
          <t xml:space="preserve">
Specific
conductivity (ks) was calculated by dividing kh by the cross-sectional area of the section being measured (page 375)</t>
        </r>
      </text>
    </comment>
    <comment ref="J54" authorId="0" shapeId="0" xr:uid="{CC3ADA43-BDD0-40E5-A9FA-326C90786501}">
      <text>
        <r>
          <rPr>
            <b/>
            <sz val="9"/>
            <color indexed="81"/>
            <rFont val="Tahoma"/>
            <family val="2"/>
          </rPr>
          <t>Juan Baca:</t>
        </r>
        <r>
          <rPr>
            <sz val="9"/>
            <color indexed="81"/>
            <rFont val="Tahoma"/>
            <family val="2"/>
          </rPr>
          <t xml:space="preserve">
field study; mature trees</t>
        </r>
      </text>
    </comment>
    <comment ref="S54" authorId="0" shapeId="0" xr:uid="{64975D66-1026-4B89-80BB-7256177A9D7D}">
      <text>
        <r>
          <rPr>
            <b/>
            <sz val="9"/>
            <color indexed="81"/>
            <rFont val="Tahoma"/>
            <family val="2"/>
          </rPr>
          <t>Juan Baca:</t>
        </r>
        <r>
          <rPr>
            <sz val="9"/>
            <color indexed="81"/>
            <rFont val="Tahoma"/>
            <family val="2"/>
          </rPr>
          <t xml:space="preserve">
used five large roots and terminal branches per
species excised before dawn (0600 h) and in the early afternoon (1400 h). Roots were extracted between 10 and 40 cm
soil depth (page 36)</t>
        </r>
      </text>
    </comment>
    <comment ref="X54" authorId="0" shapeId="0" xr:uid="{A0EF1FA7-F1E8-40FD-8C2C-3BA1D8E52B5A}">
      <text>
        <r>
          <rPr>
            <b/>
            <sz val="9"/>
            <color indexed="81"/>
            <rFont val="Tahoma"/>
            <family val="2"/>
          </rPr>
          <t>Juan Baca:</t>
        </r>
        <r>
          <rPr>
            <sz val="9"/>
            <color indexed="81"/>
            <rFont val="Tahoma"/>
            <family val="2"/>
          </rPr>
          <t xml:space="preserve">
Specific hydraulic conductivity was obtained by
dividing kh by the active xylem area (As) (page 36)</t>
        </r>
      </text>
    </comment>
    <comment ref="J61" authorId="0" shapeId="0" xr:uid="{DE5438D9-2F05-4718-BFD7-748B6C73FF06}">
      <text>
        <r>
          <rPr>
            <b/>
            <sz val="9"/>
            <color indexed="81"/>
            <rFont val="Tahoma"/>
            <family val="2"/>
          </rPr>
          <t>Juan Baca:</t>
        </r>
        <r>
          <rPr>
            <sz val="9"/>
            <color indexed="81"/>
            <rFont val="Tahoma"/>
            <family val="2"/>
          </rPr>
          <t xml:space="preserve">
page 694: Adult trees -&gt; no specific age is given in the methods</t>
        </r>
      </text>
    </comment>
    <comment ref="W61" authorId="0" shapeId="0" xr:uid="{E251498B-2E5F-4864-B3EE-6C1F79D36008}">
      <text>
        <r>
          <rPr>
            <b/>
            <sz val="9"/>
            <color indexed="81"/>
            <rFont val="Tahoma"/>
            <family val="2"/>
          </rPr>
          <t>Juan Baca:</t>
        </r>
        <r>
          <rPr>
            <sz val="9"/>
            <color indexed="81"/>
            <rFont val="Tahoma"/>
            <family val="2"/>
          </rPr>
          <t xml:space="preserve">
all data for this publication extracted from table 2</t>
        </r>
      </text>
    </comment>
    <comment ref="J66" authorId="0" shapeId="0" xr:uid="{877E74A7-54BD-4DF5-9504-325D0393EC0C}">
      <text>
        <r>
          <rPr>
            <b/>
            <sz val="9"/>
            <color indexed="81"/>
            <rFont val="Tahoma"/>
            <family val="2"/>
          </rPr>
          <t>Juan Baca:</t>
        </r>
        <r>
          <rPr>
            <sz val="9"/>
            <color indexed="81"/>
            <rFont val="Tahoma"/>
            <family val="2"/>
          </rPr>
          <t xml:space="preserve">
plants analyzed when they were 14-17 days old (page 719)</t>
        </r>
      </text>
    </comment>
    <comment ref="T66" authorId="0" shapeId="0" xr:uid="{D53E400F-D15B-41CA-B0DB-332B325FDD5A}">
      <text>
        <r>
          <rPr>
            <b/>
            <sz val="9"/>
            <color indexed="81"/>
            <rFont val="Tahoma"/>
            <family val="2"/>
          </rPr>
          <t>Juan Baca:</t>
        </r>
        <r>
          <rPr>
            <sz val="9"/>
            <color indexed="81"/>
            <rFont val="Tahoma"/>
            <family val="2"/>
          </rPr>
          <t xml:space="preserve">
Axial conductance was measured for a 20 mm long root segment near the root base (most mature root tissue) (legend table 4)</t>
        </r>
      </text>
    </comment>
    <comment ref="V66" authorId="0" shapeId="0" xr:uid="{7B6ECE71-4271-4F1F-8632-1A2F5D453AD2}">
      <text>
        <r>
          <rPr>
            <b/>
            <sz val="9"/>
            <color indexed="81"/>
            <rFont val="Tahoma"/>
            <family val="2"/>
          </rPr>
          <t>Juan Baca:</t>
        </r>
        <r>
          <rPr>
            <sz val="9"/>
            <color indexed="81"/>
            <rFont val="Tahoma"/>
            <family val="2"/>
          </rPr>
          <t xml:space="preserve">
data table 4 and length of measured segments (20mm)</t>
        </r>
      </text>
    </comment>
    <comment ref="AA66" authorId="1" shapeId="0" xr:uid="{3A365C01-0342-4778-A6DF-DB5CBEA9159B}">
      <text>
        <r>
          <rPr>
            <b/>
            <sz val="9"/>
            <color indexed="81"/>
            <rFont val="Tahoma"/>
            <family val="2"/>
          </rPr>
          <t>Juan:</t>
        </r>
        <r>
          <rPr>
            <sz val="9"/>
            <color indexed="81"/>
            <rFont val="Tahoma"/>
            <family val="2"/>
          </rPr>
          <t xml:space="preserve">
diameter data from text; Compared with seminal roots, adventitious roots were 1.5- to 2-fold thicker (mean diameter 968.682 um as compared with 509.682 lm (page 723)</t>
        </r>
      </text>
    </comment>
    <comment ref="J68" authorId="0" shapeId="0" xr:uid="{A298FCAE-E9B8-41E2-9598-E0FD2D46ED83}">
      <text>
        <r>
          <rPr>
            <b/>
            <sz val="9"/>
            <color indexed="81"/>
            <rFont val="Tahoma"/>
            <family val="2"/>
          </rPr>
          <t>Juan Baca:</t>
        </r>
        <r>
          <rPr>
            <sz val="9"/>
            <color indexed="81"/>
            <rFont val="Tahoma"/>
            <family val="2"/>
          </rPr>
          <t xml:space="preserve">
no clear infromation about the age; grown in the lab</t>
        </r>
      </text>
    </comment>
    <comment ref="K68" authorId="0" shapeId="0" xr:uid="{90488427-EAC2-40D4-91CF-0EEE2FE9F59F}">
      <text>
        <r>
          <rPr>
            <b/>
            <sz val="9"/>
            <color indexed="81"/>
            <rFont val="Tahoma"/>
            <family val="2"/>
          </rPr>
          <t>Juan Baca:</t>
        </r>
        <r>
          <rPr>
            <sz val="9"/>
            <color indexed="81"/>
            <rFont val="Tahoma"/>
            <family val="2"/>
          </rPr>
          <t xml:space="preserve">
either ^fine or woody and fully sunlight or grown under shade</t>
        </r>
      </text>
    </comment>
    <comment ref="X68" authorId="0" shapeId="0" xr:uid="{76D15DB8-8DF9-4372-9FB3-D12C97588C55}">
      <text>
        <r>
          <rPr>
            <b/>
            <sz val="9"/>
            <color indexed="81"/>
            <rFont val="Tahoma"/>
            <family val="2"/>
          </rPr>
          <t>Juan Baca:</t>
        </r>
        <r>
          <rPr>
            <sz val="9"/>
            <color indexed="81"/>
            <rFont val="Tahoma"/>
            <family val="2"/>
          </rPr>
          <t xml:space="preserve">
At the proximal end of a root segment, tissues external to the stele were removed to expose ca. 8 mm of stele which was then inserted into a piece of flexible tubing
connected by a compression fitting to glass microcapillary tubes halffilled with distilled water (page 73)</t>
        </r>
      </text>
    </comment>
    <comment ref="J80" authorId="0" shapeId="0" xr:uid="{D3DA671A-9A2F-4DAC-A022-1B77F7A1BBA4}">
      <text>
        <r>
          <rPr>
            <b/>
            <sz val="9"/>
            <color indexed="81"/>
            <rFont val="Tahoma"/>
            <family val="2"/>
          </rPr>
          <t>Juan Baca:</t>
        </r>
        <r>
          <rPr>
            <sz val="9"/>
            <color indexed="81"/>
            <rFont val="Tahoma"/>
            <family val="2"/>
          </rPr>
          <t xml:space="preserve">
experiments in 3 year old seedlings (page 1002)</t>
        </r>
      </text>
    </comment>
    <comment ref="W80" authorId="0" shapeId="0" xr:uid="{33A3F002-7DC4-42CA-B7D8-DDEE315E64C6}">
      <text>
        <r>
          <rPr>
            <b/>
            <sz val="9"/>
            <color indexed="81"/>
            <rFont val="Tahoma"/>
            <family val="2"/>
          </rPr>
          <t>Juan Baca:</t>
        </r>
        <r>
          <rPr>
            <sz val="9"/>
            <color indexed="81"/>
            <rFont val="Tahoma"/>
            <family val="2"/>
          </rPr>
          <t xml:space="preserve">
all data extracted from table 2</t>
        </r>
      </text>
    </comment>
    <comment ref="X80" authorId="0" shapeId="0" xr:uid="{155D98A6-4DCB-4062-9ABA-3315651FFEB2}">
      <text>
        <r>
          <rPr>
            <b/>
            <sz val="9"/>
            <color indexed="81"/>
            <rFont val="Tahoma"/>
            <family val="2"/>
          </rPr>
          <t>Juan Baca:</t>
        </r>
        <r>
          <rPr>
            <sz val="9"/>
            <color indexed="81"/>
            <rFont val="Tahoma"/>
            <family val="2"/>
          </rPr>
          <t xml:space="preserve">
maximum hydraulic specific conductivity (ks-max) is presented in Table 2</t>
        </r>
      </text>
    </comment>
    <comment ref="AA80" authorId="0" shapeId="0" xr:uid="{479E4767-6E83-4AE1-8513-148E120AE94B}">
      <text>
        <r>
          <rPr>
            <b/>
            <sz val="9"/>
            <color indexed="81"/>
            <rFont val="Tahoma"/>
            <family val="2"/>
          </rPr>
          <t>Juan Baca:</t>
        </r>
        <r>
          <rPr>
            <sz val="9"/>
            <color indexed="81"/>
            <rFont val="Tahoma"/>
            <family val="2"/>
          </rPr>
          <t xml:space="preserve">
For each species, six roots (1.6–4.1 mm diameter) dug from
the upper soil layer (10–25 cm) (page 1004)</t>
        </r>
      </text>
    </comment>
    <comment ref="J88" authorId="0" shapeId="0" xr:uid="{76A32F01-6A55-484D-B468-5A59B08C45DA}">
      <text>
        <r>
          <rPr>
            <b/>
            <sz val="9"/>
            <color indexed="81"/>
            <rFont val="Tahoma"/>
            <family val="2"/>
          </rPr>
          <t>Juan Baca:</t>
        </r>
        <r>
          <rPr>
            <sz val="9"/>
            <color indexed="81"/>
            <rFont val="Tahoma"/>
            <family val="2"/>
          </rPr>
          <t xml:space="preserve">
no root age data; field measurements</t>
        </r>
      </text>
    </comment>
    <comment ref="X88" authorId="0" shapeId="0" xr:uid="{E0E58F58-B595-41AA-9DFA-6E57DE18D4B9}">
      <text>
        <r>
          <rPr>
            <b/>
            <sz val="9"/>
            <color indexed="81"/>
            <rFont val="Tahoma"/>
            <family val="2"/>
          </rPr>
          <t>Juan Baca:</t>
        </r>
        <r>
          <rPr>
            <sz val="9"/>
            <color indexed="81"/>
            <rFont val="Tahoma"/>
            <family val="2"/>
          </rPr>
          <t xml:space="preserve">
The maximum
hydraulic conductivity was used to determine the specific
conductivity (KS), which is the hydraulic conductivity per transverse sectional xylem area (page 678)</t>
        </r>
      </text>
    </comment>
    <comment ref="AA88" authorId="0" shapeId="0" xr:uid="{74F0D3DC-2EF7-47A3-8951-9322D33CBE71}">
      <text>
        <r>
          <rPr>
            <b/>
            <sz val="9"/>
            <color indexed="81"/>
            <rFont val="Tahoma"/>
            <family val="2"/>
          </rPr>
          <t>Juan Baca:</t>
        </r>
        <r>
          <rPr>
            <sz val="9"/>
            <color indexed="81"/>
            <rFont val="Tahoma"/>
            <family val="2"/>
          </rPr>
          <t xml:space="preserve">
Segments had
a length of 14.5 cm and a diameter (including bark) of 4–8 mm and 7–10 mm for roots and branches, (page 678)</t>
        </r>
      </text>
    </comment>
    <comment ref="J91" authorId="0" shapeId="0" xr:uid="{F6C3CE20-3BF7-4CC8-BBD0-90B2CA450A03}">
      <text>
        <r>
          <rPr>
            <b/>
            <sz val="9"/>
            <color indexed="81"/>
            <rFont val="Tahoma"/>
            <family val="2"/>
          </rPr>
          <t>Juan Baca:</t>
        </r>
        <r>
          <rPr>
            <sz val="9"/>
            <color indexed="81"/>
            <rFont val="Tahoma"/>
            <family val="2"/>
          </rPr>
          <t xml:space="preserve">
all experiements performed at 14 days afeter sowing (page 361)</t>
        </r>
      </text>
    </comment>
    <comment ref="T91" authorId="0" shapeId="0" xr:uid="{AFEDC88D-0269-4A5A-BF51-5749824ACA0C}">
      <text>
        <r>
          <rPr>
            <b/>
            <sz val="9"/>
            <color indexed="81"/>
            <rFont val="Tahoma"/>
            <family val="2"/>
          </rPr>
          <t>Juan Baca:</t>
        </r>
        <r>
          <rPr>
            <sz val="9"/>
            <color indexed="81"/>
            <rFont val="Tahoma"/>
            <family val="2"/>
          </rPr>
          <t xml:space="preserve">
After measurements of L
r, the root was cut from the probe near the seal. Lax
was measured on the segment of root remaining within the seal (10 mm), where radial flow was negligible. (page 361)</t>
        </r>
      </text>
    </comment>
    <comment ref="J94" authorId="0" shapeId="0" xr:uid="{E058204A-3F59-49DE-BBD9-F73D32B0D404}">
      <text>
        <r>
          <rPr>
            <b/>
            <sz val="9"/>
            <color indexed="81"/>
            <rFont val="Tahoma"/>
            <family val="2"/>
          </rPr>
          <t>Juan Baca:</t>
        </r>
        <r>
          <rPr>
            <sz val="9"/>
            <color indexed="81"/>
            <rFont val="Tahoma"/>
            <family val="2"/>
          </rPr>
          <t xml:space="preserve">
no rrot age data: field experiments</t>
        </r>
      </text>
    </comment>
    <comment ref="W94" authorId="0" shapeId="0" xr:uid="{998054A5-F653-46D4-8739-847F33C8863F}">
      <text>
        <r>
          <rPr>
            <b/>
            <sz val="9"/>
            <color indexed="81"/>
            <rFont val="Tahoma"/>
            <family val="2"/>
          </rPr>
          <t>Juan Baca:</t>
        </r>
        <r>
          <rPr>
            <sz val="9"/>
            <color indexed="81"/>
            <rFont val="Tahoma"/>
            <family val="2"/>
          </rPr>
          <t xml:space="preserve">
ks data not directly reported in the publication. Data extracted directly frtom the XFT database</t>
        </r>
      </text>
    </comment>
    <comment ref="X94" authorId="0" shapeId="0" xr:uid="{A9CFB73E-B5A2-4A76-8FCE-F0E1C3A371C5}">
      <text>
        <r>
          <rPr>
            <b/>
            <sz val="9"/>
            <color indexed="81"/>
            <rFont val="Tahoma"/>
            <family val="2"/>
          </rPr>
          <t>Juan Baca:</t>
        </r>
        <r>
          <rPr>
            <sz val="9"/>
            <color indexed="81"/>
            <rFont val="Tahoma"/>
            <family val="2"/>
          </rPr>
          <t xml:space="preserve">
data from the XFT-database are sapwood specific conductivity</t>
        </r>
      </text>
    </comment>
    <comment ref="J108" authorId="0" shapeId="0" xr:uid="{FF5A5268-BB07-4CEC-A9D6-7D6123A59635}">
      <text>
        <r>
          <rPr>
            <b/>
            <sz val="9"/>
            <color indexed="81"/>
            <rFont val="Tahoma"/>
            <family val="2"/>
          </rPr>
          <t>Juan Baca:</t>
        </r>
        <r>
          <rPr>
            <sz val="9"/>
            <color indexed="81"/>
            <rFont val="Tahoma"/>
            <family val="2"/>
          </rPr>
          <t xml:space="preserve">
10 young trees from the same age
cohort (34 ± 2 years old) (page 1494)</t>
        </r>
      </text>
    </comment>
    <comment ref="T108" authorId="0" shapeId="0" xr:uid="{CBA457C1-E49B-4AAF-8B13-544FDBA858D9}">
      <text>
        <r>
          <rPr>
            <b/>
            <sz val="9"/>
            <color indexed="81"/>
            <rFont val="Tahoma"/>
            <family val="2"/>
          </rPr>
          <t>Juan Baca:</t>
        </r>
        <r>
          <rPr>
            <sz val="9"/>
            <color indexed="81"/>
            <rFont val="Tahoma"/>
            <family val="2"/>
          </rPr>
          <t xml:space="preserve">
ks and the loss of ks as a result of native embolism were measured on one lateral coarse root (3–4 mm in diameter and &gt; 25 cm in length) excised near the base (page 1495)</t>
        </r>
      </text>
    </comment>
    <comment ref="W108" authorId="0" shapeId="0" xr:uid="{B0E6D093-9791-42DD-A9C3-7140CAD01330}">
      <text>
        <r>
          <rPr>
            <b/>
            <sz val="9"/>
            <color indexed="81"/>
            <rFont val="Tahoma"/>
            <family val="2"/>
          </rPr>
          <t>Juan Baca:</t>
        </r>
        <r>
          <rPr>
            <sz val="9"/>
            <color indexed="81"/>
            <rFont val="Tahoma"/>
            <family val="2"/>
          </rPr>
          <t xml:space="preserve">
data from table 2</t>
        </r>
      </text>
    </comment>
    <comment ref="X108" authorId="0" shapeId="0" xr:uid="{F6656C78-DE69-4976-B8EB-37A56911C866}">
      <text>
        <r>
          <rPr>
            <b/>
            <sz val="9"/>
            <color indexed="81"/>
            <rFont val="Tahoma"/>
            <family val="2"/>
          </rPr>
          <t>Juan Baca:</t>
        </r>
        <r>
          <rPr>
            <sz val="9"/>
            <color indexed="81"/>
            <rFont val="Tahoma"/>
            <family val="2"/>
          </rPr>
          <t xml:space="preserve">
Specific conductivity was calculated as the mass flow rate of the perfusion solution divided by the pressure gradient across the root or branch segment, and normalized by the xylem cross-sectional area (page 1495)</t>
        </r>
      </text>
    </comment>
    <comment ref="AA108" authorId="0" shapeId="0" xr:uid="{6DE17D97-8D5C-4EF7-8126-6C7CED396858}">
      <text>
        <r>
          <rPr>
            <b/>
            <sz val="9"/>
            <color indexed="81"/>
            <rFont val="Tahoma"/>
            <family val="2"/>
          </rPr>
          <t>Juan Baca:</t>
        </r>
        <r>
          <rPr>
            <sz val="9"/>
            <color indexed="81"/>
            <rFont val="Tahoma"/>
            <family val="2"/>
          </rPr>
          <t xml:space="preserve">
one lateral coarse root
(3–4 mm in diameter and &gt; 25 cm in length) (page 1495)</t>
        </r>
      </text>
    </comment>
    <comment ref="J110" authorId="0" shapeId="0" xr:uid="{4ED5CDCD-4BEF-4B93-89E0-696893F9BAB6}">
      <text>
        <r>
          <rPr>
            <b/>
            <sz val="9"/>
            <color indexed="81"/>
            <rFont val="Tahoma"/>
            <family val="2"/>
          </rPr>
          <t>Juan Baca:</t>
        </r>
        <r>
          <rPr>
            <sz val="9"/>
            <color indexed="81"/>
            <rFont val="Tahoma"/>
            <family val="2"/>
          </rPr>
          <t xml:space="preserve">
no rrot age data: field experiments</t>
        </r>
      </text>
    </comment>
    <comment ref="W110" authorId="0" shapeId="0" xr:uid="{17414633-C7C2-4CC3-A8E3-D0B39668C527}">
      <text>
        <r>
          <rPr>
            <b/>
            <sz val="9"/>
            <color indexed="81"/>
            <rFont val="Tahoma"/>
            <family val="2"/>
          </rPr>
          <t>Juan Baca:</t>
        </r>
        <r>
          <rPr>
            <sz val="9"/>
            <color indexed="81"/>
            <rFont val="Tahoma"/>
            <family val="2"/>
          </rPr>
          <t xml:space="preserve">
ks data not reported in the publication. Data extracted directly frtom the XFT database</t>
        </r>
      </text>
    </comment>
    <comment ref="X110" authorId="0" shapeId="0" xr:uid="{1BA9B24D-B8CC-41BC-988C-4213494ECDA5}">
      <text>
        <r>
          <rPr>
            <b/>
            <sz val="9"/>
            <color indexed="81"/>
            <rFont val="Tahoma"/>
            <family val="2"/>
          </rPr>
          <t>Juan Baca:</t>
        </r>
        <r>
          <rPr>
            <sz val="9"/>
            <color indexed="81"/>
            <rFont val="Tahoma"/>
            <family val="2"/>
          </rPr>
          <t xml:space="preserve">
data from the XFT-database are sapwood specific conductivity</t>
        </r>
      </text>
    </comment>
    <comment ref="AA110" authorId="0" shapeId="0" xr:uid="{42D069EE-A78A-4720-9EFC-DFF16E412C38}">
      <text>
        <r>
          <rPr>
            <b/>
            <sz val="9"/>
            <color indexed="81"/>
            <rFont val="Tahoma"/>
            <family val="2"/>
          </rPr>
          <t>Juan Baca:</t>
        </r>
        <r>
          <rPr>
            <sz val="9"/>
            <color indexed="81"/>
            <rFont val="Tahoma"/>
            <family val="2"/>
          </rPr>
          <t xml:space="preserve">
oots were taken from depths between 0.1 and 0.8 m,
their length upon removal was 0.2–1 m, and their
diameter ranged from 3 to 12 mm (most were 7–8 mm) (page 242)</t>
        </r>
      </text>
    </comment>
    <comment ref="J119" authorId="0" shapeId="0" xr:uid="{8D9D7CC0-BE1A-45F7-A465-45FDF1BA61B6}">
      <text>
        <r>
          <rPr>
            <b/>
            <sz val="9"/>
            <color indexed="81"/>
            <rFont val="Tahoma"/>
            <family val="2"/>
          </rPr>
          <t>Juan Baca:</t>
        </r>
        <r>
          <rPr>
            <sz val="9"/>
            <color indexed="81"/>
            <rFont val="Tahoma"/>
            <family val="2"/>
          </rPr>
          <t xml:space="preserve">
Ten to 14 d after planting, the longest seminal root of wheat and maize, or the taproot of lupin, was excised 100–130 mm from the root tip (page 863)</t>
        </r>
      </text>
    </comment>
    <comment ref="T119" authorId="0" shapeId="0" xr:uid="{4C5DD44F-0540-412B-9277-45D252C38177}">
      <text>
        <r>
          <rPr>
            <b/>
            <sz val="9"/>
            <color indexed="81"/>
            <rFont val="Tahoma"/>
            <charset val="1"/>
          </rPr>
          <t>Juan Baca:</t>
        </r>
        <r>
          <rPr>
            <sz val="9"/>
            <color indexed="81"/>
            <rFont val="Tahoma"/>
            <charset val="1"/>
          </rPr>
          <t xml:space="preserve">
Care was taken to remove the root tip in which the xylem was still developing and where axial resistance was high (page 863)</t>
        </r>
      </text>
    </comment>
    <comment ref="J123" authorId="0" shapeId="0" xr:uid="{CC7B7669-3CF6-4215-AB86-FB45E9E7F48E}">
      <text>
        <r>
          <rPr>
            <b/>
            <sz val="9"/>
            <color indexed="81"/>
            <rFont val="Tahoma"/>
            <family val="2"/>
          </rPr>
          <t>Juan Baca:</t>
        </r>
        <r>
          <rPr>
            <sz val="9"/>
            <color indexed="81"/>
            <rFont val="Tahoma"/>
            <family val="2"/>
          </rPr>
          <t xml:space="preserve">
no root age data; field measurements</t>
        </r>
      </text>
    </comment>
    <comment ref="W123" authorId="0" shapeId="0" xr:uid="{A873F69E-4DBF-483A-AEE8-1AFE05FC63C1}">
      <text>
        <r>
          <rPr>
            <b/>
            <sz val="9"/>
            <color indexed="81"/>
            <rFont val="Tahoma"/>
            <family val="2"/>
          </rPr>
          <t>Juan Baca:</t>
        </r>
        <r>
          <rPr>
            <sz val="9"/>
            <color indexed="81"/>
            <rFont val="Tahoma"/>
            <family val="2"/>
          </rPr>
          <t xml:space="preserve">
ks data not directly reported in the publication. Data extracted directly frtom the XFT database</t>
        </r>
      </text>
    </comment>
    <comment ref="X123" authorId="0" shapeId="0" xr:uid="{4FD02E76-D8FF-4608-95AD-11E417CDB81D}">
      <text>
        <r>
          <rPr>
            <b/>
            <sz val="9"/>
            <color indexed="81"/>
            <rFont val="Tahoma"/>
            <family val="2"/>
          </rPr>
          <t>Juan Baca:</t>
        </r>
        <r>
          <rPr>
            <sz val="9"/>
            <color indexed="81"/>
            <rFont val="Tahoma"/>
            <family val="2"/>
          </rPr>
          <t xml:space="preserve">
data from the XFT-database are sapwood specific conductivity</t>
        </r>
      </text>
    </comment>
    <comment ref="J135" authorId="0" shapeId="0" xr:uid="{F9BE12B4-50C0-47E7-8D4F-41B5C8845DDC}">
      <text>
        <r>
          <rPr>
            <b/>
            <sz val="9"/>
            <color indexed="81"/>
            <rFont val="Tahoma"/>
            <family val="2"/>
          </rPr>
          <t>Juan Baca:</t>
        </r>
        <r>
          <rPr>
            <sz val="9"/>
            <color indexed="81"/>
            <rFont val="Tahoma"/>
            <family val="2"/>
          </rPr>
          <t xml:space="preserve">
 Stem and root
samples were typically 2–5 years old, as determined by
growth ring counts of cross sections (page 573)</t>
        </r>
      </text>
    </comment>
    <comment ref="W135" authorId="0" shapeId="0" xr:uid="{7AE03B97-ABFA-4190-873C-FD21955890B5}">
      <text>
        <r>
          <rPr>
            <b/>
            <sz val="9"/>
            <color indexed="81"/>
            <rFont val="Tahoma"/>
            <family val="2"/>
          </rPr>
          <t>Juan Baca:</t>
        </r>
        <r>
          <rPr>
            <sz val="9"/>
            <color indexed="81"/>
            <rFont val="Tahoma"/>
            <family val="2"/>
          </rPr>
          <t xml:space="preserve">
data from table 2</t>
        </r>
      </text>
    </comment>
    <comment ref="X135" authorId="0" shapeId="0" xr:uid="{6FD25E1A-4563-443E-8E44-7398AD618F67}">
      <text>
        <r>
          <rPr>
            <b/>
            <sz val="9"/>
            <color indexed="81"/>
            <rFont val="Tahoma"/>
            <family val="2"/>
          </rPr>
          <t>Juan Baca:</t>
        </r>
        <r>
          <rPr>
            <sz val="9"/>
            <color indexed="81"/>
            <rFont val="Tahoma"/>
            <family val="2"/>
          </rPr>
          <t xml:space="preserve">
Specific conductivity (KS; kg m−1 MPa−1 s−1) was calculated by dividing KH by the segment’s cross-sectional xylem area (page 573)</t>
        </r>
      </text>
    </comment>
    <comment ref="J149" authorId="0" shapeId="0" xr:uid="{90E65CBD-FB53-4CB3-BB5A-AE81EF6F4A0D}">
      <text>
        <r>
          <rPr>
            <b/>
            <sz val="9"/>
            <color indexed="81"/>
            <rFont val="Tahoma"/>
            <family val="2"/>
          </rPr>
          <t>Juan Baca:</t>
        </r>
        <r>
          <rPr>
            <sz val="9"/>
            <color indexed="81"/>
            <rFont val="Tahoma"/>
            <family val="2"/>
          </rPr>
          <t xml:space="preserve">
no information about age; field data</t>
        </r>
      </text>
    </comment>
    <comment ref="W149" authorId="0" shapeId="0" xr:uid="{773A2B21-A952-4A22-ABB8-7860BAE6B29A}">
      <text>
        <r>
          <rPr>
            <b/>
            <sz val="9"/>
            <color indexed="81"/>
            <rFont val="Tahoma"/>
            <family val="2"/>
          </rPr>
          <t>Juan Baca:</t>
        </r>
        <r>
          <rPr>
            <sz val="9"/>
            <color indexed="81"/>
            <rFont val="Tahoma"/>
            <family val="2"/>
          </rPr>
          <t xml:space="preserve">
data from table 2</t>
        </r>
      </text>
    </comment>
    <comment ref="X149" authorId="0" shapeId="0" xr:uid="{20B69D98-F59A-45D5-83D5-32ED35C43F32}">
      <text>
        <r>
          <rPr>
            <b/>
            <sz val="9"/>
            <color indexed="81"/>
            <rFont val="Tahoma"/>
            <family val="2"/>
          </rPr>
          <t>Juan Baca:</t>
        </r>
        <r>
          <rPr>
            <sz val="9"/>
            <color indexed="81"/>
            <rFont val="Tahoma"/>
            <family val="2"/>
          </rPr>
          <t xml:space="preserve">
The cross-sectional conducting area was assumed to equal all the area beneath the root cortex or bark (page 315)</t>
        </r>
      </text>
    </comment>
    <comment ref="AB149" authorId="0" shapeId="0" xr:uid="{58FD1B8B-6E93-4909-8504-1BDC38BB05EA}">
      <text>
        <r>
          <rPr>
            <b/>
            <sz val="9"/>
            <color indexed="81"/>
            <rFont val="Tahoma"/>
            <family val="2"/>
          </rPr>
          <t>Juan Baca:</t>
        </r>
        <r>
          <rPr>
            <sz val="9"/>
            <color indexed="81"/>
            <rFont val="Tahoma"/>
            <family val="2"/>
          </rPr>
          <t xml:space="preserve">
data from  table 3</t>
        </r>
      </text>
    </comment>
    <comment ref="J151" authorId="0" shapeId="0" xr:uid="{649BA46A-B985-4759-BF8E-AB4D3AE2B54E}">
      <text>
        <r>
          <rPr>
            <b/>
            <sz val="9"/>
            <color indexed="81"/>
            <rFont val="Tahoma"/>
            <family val="2"/>
          </rPr>
          <t>Juan Baca:</t>
        </r>
        <r>
          <rPr>
            <sz val="9"/>
            <color indexed="81"/>
            <rFont val="Tahoma"/>
            <family val="2"/>
          </rPr>
          <t xml:space="preserve">
L. angustifolius plants grown for about 1 month in observation boxes (page 103)</t>
        </r>
      </text>
    </comment>
    <comment ref="T151" authorId="0" shapeId="0" xr:uid="{24D070FA-2147-4B41-A537-F48534803473}">
      <text>
        <r>
          <rPr>
            <b/>
            <sz val="9"/>
            <color indexed="81"/>
            <rFont val="Tahoma"/>
            <family val="2"/>
          </rPr>
          <t>Juan Baca:</t>
        </r>
        <r>
          <rPr>
            <sz val="9"/>
            <color indexed="81"/>
            <rFont val="Tahoma"/>
            <family val="2"/>
          </rPr>
          <t xml:space="preserve">
defined as &lt;=10, &lt;=20 and &gt;20 based on the model presented in Fig 3a</t>
        </r>
      </text>
    </comment>
    <comment ref="T154" authorId="0" shapeId="0" xr:uid="{2B980834-8213-4898-9263-30E9B6D4045F}">
      <text>
        <r>
          <rPr>
            <b/>
            <sz val="9"/>
            <color indexed="81"/>
            <rFont val="Tahoma"/>
            <family val="2"/>
          </rPr>
          <t>Juan Baca:</t>
        </r>
        <r>
          <rPr>
            <sz val="9"/>
            <color indexed="81"/>
            <rFont val="Tahoma"/>
            <family val="2"/>
          </rPr>
          <t xml:space="preserve">
defined as &lt;=8, &lt;=11 and &gt;11 days based on the model presented in Fig 3b</t>
        </r>
      </text>
    </comment>
    <comment ref="J157" authorId="0" shapeId="0" xr:uid="{FDF4375E-DDB3-4DA9-8A5B-6A47AFE15FB8}">
      <text>
        <r>
          <rPr>
            <b/>
            <sz val="9"/>
            <color indexed="81"/>
            <rFont val="Tahoma"/>
            <family val="2"/>
          </rPr>
          <t>Juan Baca:</t>
        </r>
        <r>
          <rPr>
            <sz val="9"/>
            <color indexed="81"/>
            <rFont val="Tahoma"/>
            <family val="2"/>
          </rPr>
          <t xml:space="preserve">
adult trees of station in central Brasil (page27)</t>
        </r>
      </text>
    </comment>
    <comment ref="W157" authorId="0" shapeId="0" xr:uid="{1EB970B0-F055-4134-9C77-54B26CF783A1}">
      <text>
        <r>
          <rPr>
            <b/>
            <sz val="9"/>
            <color indexed="81"/>
            <rFont val="Tahoma"/>
            <family val="2"/>
          </rPr>
          <t>Juan Baca:</t>
        </r>
        <r>
          <rPr>
            <sz val="9"/>
            <color indexed="81"/>
            <rFont val="Tahoma"/>
            <family val="2"/>
          </rPr>
          <t xml:space="preserve">
data from table 2</t>
        </r>
      </text>
    </comment>
    <comment ref="X157" authorId="0" shapeId="0" xr:uid="{9031C253-0FA0-4FFF-84AA-5EE320A1BE29}">
      <text>
        <r>
          <rPr>
            <b/>
            <sz val="9"/>
            <color indexed="81"/>
            <rFont val="Tahoma"/>
            <family val="2"/>
          </rPr>
          <t>Juan Baca:</t>
        </r>
        <r>
          <rPr>
            <sz val="9"/>
            <color indexed="81"/>
            <rFont val="Tahoma"/>
            <family val="2"/>
          </rPr>
          <t xml:space="preserve">
16–18 cm long section of each
root was cut, and the bark and cambium were removed from the entire sample (page 28)</t>
        </r>
      </text>
    </comment>
    <comment ref="Z157" authorId="0" shapeId="0" xr:uid="{407C1A1A-4865-4614-97CA-A780CC2F5A9C}">
      <text>
        <r>
          <rPr>
            <b/>
            <sz val="9"/>
            <color indexed="81"/>
            <rFont val="Tahoma"/>
            <family val="2"/>
          </rPr>
          <t>Juan Baca:</t>
        </r>
        <r>
          <rPr>
            <sz val="9"/>
            <color indexed="81"/>
            <rFont val="Tahoma"/>
            <family val="2"/>
          </rPr>
          <t xml:space="preserve">
calculated based on meax xylem diameter</t>
        </r>
      </text>
    </comment>
    <comment ref="AA157" authorId="0" shapeId="0" xr:uid="{F9FABA05-C4DA-4223-B7F9-8167924EEB44}">
      <text>
        <r>
          <rPr>
            <b/>
            <sz val="9"/>
            <color indexed="81"/>
            <rFont val="Tahoma"/>
            <family val="2"/>
          </rPr>
          <t>Juan Baca:</t>
        </r>
        <r>
          <rPr>
            <sz val="9"/>
            <color indexed="81"/>
            <rFont val="Tahoma"/>
            <family val="2"/>
          </rPr>
          <t xml:space="preserve">
morphological data from table 1</t>
        </r>
      </text>
    </comment>
    <comment ref="J161" authorId="0" shapeId="0" xr:uid="{736CBF5F-C0CB-4D2C-A2F2-DF4C9A618B17}">
      <text>
        <r>
          <rPr>
            <b/>
            <sz val="9"/>
            <color indexed="81"/>
            <rFont val="Tahoma"/>
            <family val="2"/>
          </rPr>
          <t>Juan Baca:</t>
        </r>
        <r>
          <rPr>
            <sz val="9"/>
            <color indexed="81"/>
            <rFont val="Tahoma"/>
            <family val="2"/>
          </rPr>
          <t xml:space="preserve">
no information about age; field data, 23 year old trees</t>
        </r>
      </text>
    </comment>
    <comment ref="W161" authorId="0" shapeId="0" xr:uid="{FA61DFB6-8F8D-4C00-A80C-5823981AC278}">
      <text>
        <r>
          <rPr>
            <b/>
            <sz val="9"/>
            <color indexed="81"/>
            <rFont val="Tahoma"/>
            <family val="2"/>
          </rPr>
          <t>Juan Baca:</t>
        </r>
        <r>
          <rPr>
            <sz val="9"/>
            <color indexed="81"/>
            <rFont val="Tahoma"/>
            <family val="2"/>
          </rPr>
          <t xml:space="preserve">
ks data not directly reported in the publication. Data extracted directly frtom the XFT database</t>
        </r>
      </text>
    </comment>
    <comment ref="X161" authorId="0" shapeId="0" xr:uid="{AB4F3410-0FB3-4AF7-999F-0F1C9F2BA0F0}">
      <text>
        <r>
          <rPr>
            <b/>
            <sz val="9"/>
            <color indexed="81"/>
            <rFont val="Tahoma"/>
            <family val="2"/>
          </rPr>
          <t>Juan Baca:</t>
        </r>
        <r>
          <rPr>
            <sz val="9"/>
            <color indexed="81"/>
            <rFont val="Tahoma"/>
            <family val="2"/>
          </rPr>
          <t xml:space="preserve">
data from the XFT-database are sapwood specific conductivity</t>
        </r>
      </text>
    </comment>
    <comment ref="AA161" authorId="0" shapeId="0" xr:uid="{4EEBF51A-5696-4678-8EAF-23650CBC99FA}">
      <text>
        <r>
          <rPr>
            <b/>
            <sz val="9"/>
            <color indexed="81"/>
            <rFont val="Tahoma"/>
            <family val="2"/>
          </rPr>
          <t>Juan Baca:</t>
        </r>
        <r>
          <rPr>
            <sz val="9"/>
            <color indexed="81"/>
            <rFont val="Tahoma"/>
            <family val="2"/>
          </rPr>
          <t xml:space="preserve">
Lateral medium roots 3–4 mm in diameter were excised near the base of the young and old trees at ;20 cm depth
in the soil (page 1589)</t>
        </r>
      </text>
    </comment>
    <comment ref="J162" authorId="0" shapeId="0" xr:uid="{855C9507-02F7-4642-B031-9FE71DA3B4B3}">
      <text>
        <r>
          <rPr>
            <b/>
            <sz val="9"/>
            <color indexed="81"/>
            <rFont val="Tahoma"/>
            <family val="2"/>
          </rPr>
          <t>Juan Baca:</t>
        </r>
        <r>
          <rPr>
            <sz val="9"/>
            <color indexed="81"/>
            <rFont val="Tahoma"/>
            <family val="2"/>
          </rPr>
          <t xml:space="preserve">
After 45 d in wet soil, main roots arising from the stem were 300–350 mm long (page 220)</t>
        </r>
      </text>
    </comment>
    <comment ref="V162" authorId="0" shapeId="0" xr:uid="{EA38786B-C0B4-4371-B25F-C92CDF994310}">
      <text>
        <r>
          <rPr>
            <b/>
            <sz val="9"/>
            <color indexed="81"/>
            <rFont val="Tahoma"/>
            <family val="2"/>
          </rPr>
          <t>Juan Baca:</t>
        </r>
        <r>
          <rPr>
            <sz val="9"/>
            <color indexed="81"/>
            <rFont val="Tahoma"/>
            <family val="2"/>
          </rPr>
          <t xml:space="preserve">
data from text (page 223)</t>
        </r>
      </text>
    </comment>
    <comment ref="AA162" authorId="0" shapeId="0" xr:uid="{ECF26823-F37F-4AA0-98F4-89BA9EBCF45C}">
      <text>
        <r>
          <rPr>
            <b/>
            <sz val="9"/>
            <color indexed="81"/>
            <rFont val="Tahoma"/>
            <family val="2"/>
          </rPr>
          <t>Juan Baca:</t>
        </r>
        <r>
          <rPr>
            <sz val="9"/>
            <color indexed="81"/>
            <rFont val="Tahoma"/>
            <family val="2"/>
          </rPr>
          <t xml:space="preserve">
main roots arising  from the stem were 300–350 mm long and averaged 3.6 mm in diameter (page 220)</t>
        </r>
      </text>
    </comment>
    <comment ref="J165" authorId="0" shapeId="0" xr:uid="{7A1BEFD0-5390-4FF7-A391-637E3D2EC86C}">
      <text>
        <r>
          <rPr>
            <b/>
            <sz val="9"/>
            <color indexed="81"/>
            <rFont val="Tahoma"/>
            <family val="2"/>
          </rPr>
          <t>Juan Baca:</t>
        </r>
        <r>
          <rPr>
            <sz val="9"/>
            <color indexed="81"/>
            <rFont val="Tahoma"/>
            <family val="2"/>
          </rPr>
          <t xml:space="preserve">
adult trees -&gt; no exact information about age</t>
        </r>
      </text>
    </comment>
    <comment ref="X165" authorId="0" shapeId="0" xr:uid="{0B5359B8-DCC6-4990-9FFE-264EBE2BB6A2}">
      <text>
        <r>
          <rPr>
            <b/>
            <sz val="9"/>
            <color indexed="81"/>
            <rFont val="Tahoma"/>
            <family val="2"/>
          </rPr>
          <t>Juan Baca:</t>
        </r>
        <r>
          <rPr>
            <sz val="9"/>
            <color indexed="81"/>
            <rFont val="Tahoma"/>
            <family val="2"/>
          </rPr>
          <t xml:space="preserve">
Specific hydraulic conductivity (Ks)
was calculated as the quotient of and the stele transverse area (cross-sectional area without bark and cortex (page 509)</t>
        </r>
      </text>
    </comment>
    <comment ref="J171" authorId="0" shapeId="0" xr:uid="{23B01389-FB55-4213-9324-542F64BF20AD}">
      <text>
        <r>
          <rPr>
            <b/>
            <sz val="9"/>
            <color indexed="81"/>
            <rFont val="Tahoma"/>
            <family val="2"/>
          </rPr>
          <t>Juan Baca:</t>
        </r>
        <r>
          <rPr>
            <sz val="9"/>
            <color indexed="81"/>
            <rFont val="Tahoma"/>
            <family val="2"/>
          </rPr>
          <t xml:space="preserve">
field measurements in old, intermidiate and young stands -&gt; no information about root age</t>
        </r>
      </text>
    </comment>
    <comment ref="W171" authorId="0" shapeId="0" xr:uid="{12CAEA01-E46C-4D03-92D9-8AE3815844F7}">
      <text>
        <r>
          <rPr>
            <b/>
            <sz val="9"/>
            <color indexed="81"/>
            <rFont val="Tahoma"/>
            <family val="2"/>
          </rPr>
          <t>Juan Baca:</t>
        </r>
        <r>
          <rPr>
            <sz val="9"/>
            <color indexed="81"/>
            <rFont val="Tahoma"/>
            <family val="2"/>
          </rPr>
          <t xml:space="preserve">
all data from table 2</t>
        </r>
      </text>
    </comment>
    <comment ref="X171" authorId="0" shapeId="0" xr:uid="{9349146A-6C1F-4FBA-9328-14321A6607BA}">
      <text>
        <r>
          <rPr>
            <b/>
            <sz val="9"/>
            <color indexed="81"/>
            <rFont val="Tahoma"/>
            <family val="2"/>
          </rPr>
          <t>Juan Baca:</t>
        </r>
        <r>
          <rPr>
            <sz val="9"/>
            <color indexed="81"/>
            <rFont val="Tahoma"/>
            <family val="2"/>
          </rPr>
          <t xml:space="preserve">
Specific conductivity was calculated as the mass flow
rate of the perfusion solution divided by the pressure gradient across
the root segment, normalized by the xylem cross-sectional area. (page 9)</t>
        </r>
      </text>
    </comment>
    <comment ref="Z171" authorId="0" shapeId="0" xr:uid="{9E911616-5B2C-4CCE-A544-9CA43FD19B22}">
      <text>
        <r>
          <rPr>
            <b/>
            <sz val="9"/>
            <color indexed="81"/>
            <rFont val="Tahoma"/>
            <family val="2"/>
          </rPr>
          <t>Juan Baca:</t>
        </r>
        <r>
          <rPr>
            <sz val="9"/>
            <color indexed="81"/>
            <rFont val="Tahoma"/>
            <family val="2"/>
          </rPr>
          <t xml:space="preserve">
based on xylem diameter reported in table 2</t>
        </r>
      </text>
    </comment>
    <comment ref="J176" authorId="0" shapeId="0" xr:uid="{E735902E-1E7D-43EC-B9A2-F6EE6FE2DBA9}">
      <text>
        <r>
          <rPr>
            <b/>
            <sz val="9"/>
            <color indexed="81"/>
            <rFont val="Tahoma"/>
            <family val="2"/>
          </rPr>
          <t>Juan Baca:</t>
        </r>
        <r>
          <rPr>
            <sz val="9"/>
            <color indexed="81"/>
            <rFont val="Tahoma"/>
            <family val="2"/>
          </rPr>
          <t xml:space="preserve">
mature trees in old plantations (75 or 15 year old plantations)</t>
        </r>
      </text>
    </comment>
    <comment ref="S176" authorId="0" shapeId="0" xr:uid="{13124F71-3527-4C8F-946F-8130C2AE6D70}">
      <text>
        <r>
          <rPr>
            <b/>
            <sz val="9"/>
            <color indexed="81"/>
            <rFont val="Tahoma"/>
            <family val="2"/>
          </rPr>
          <t>Juan Baca:</t>
        </r>
        <r>
          <rPr>
            <sz val="9"/>
            <color indexed="81"/>
            <rFont val="Tahoma"/>
            <family val="2"/>
          </rPr>
          <t xml:space="preserve">
Roots and branches
for hydraulic measurements were sampled from the
same trees; roots at a depth of ca. 25 cm (page 132)</t>
        </r>
      </text>
    </comment>
    <comment ref="W176" authorId="0" shapeId="0" xr:uid="{8753A7DA-86A6-41C7-88EE-C938A7CC48B2}">
      <text>
        <r>
          <rPr>
            <b/>
            <sz val="9"/>
            <color indexed="81"/>
            <rFont val="Tahoma"/>
            <family val="2"/>
          </rPr>
          <t>Juan Baca:</t>
        </r>
        <r>
          <rPr>
            <sz val="9"/>
            <color indexed="81"/>
            <rFont val="Tahoma"/>
            <family val="2"/>
          </rPr>
          <t xml:space="preserve">
data from table 1</t>
        </r>
      </text>
    </comment>
    <comment ref="X176" authorId="0" shapeId="0" xr:uid="{0B196FAF-668E-4666-B5AD-925E01922F75}">
      <text>
        <r>
          <rPr>
            <b/>
            <sz val="9"/>
            <color indexed="81"/>
            <rFont val="Tahoma"/>
            <family val="2"/>
          </rPr>
          <t>Juan Baca:</t>
        </r>
        <r>
          <rPr>
            <sz val="9"/>
            <color indexed="81"/>
            <rFont val="Tahoma"/>
            <family val="2"/>
          </rPr>
          <t xml:space="preserve">
after removing the bark … (page 133)</t>
        </r>
      </text>
    </comment>
    <comment ref="AA176" authorId="0" shapeId="0" xr:uid="{9BFF57F8-DE25-480C-829D-E41E42D4D640}">
      <text>
        <r>
          <rPr>
            <b/>
            <sz val="9"/>
            <color indexed="81"/>
            <rFont val="Tahoma"/>
            <family val="2"/>
          </rPr>
          <t>Juan Baca:</t>
        </r>
        <r>
          <rPr>
            <sz val="9"/>
            <color indexed="81"/>
            <rFont val="Tahoma"/>
            <family val="2"/>
          </rPr>
          <t xml:space="preserve">
Segments ca. 20 cm long and with a diameter of 0.7 ± 0.2 cm (page 133)</t>
        </r>
      </text>
    </comment>
    <comment ref="J179" authorId="0" shapeId="0" xr:uid="{74B48E8B-C63A-4DCE-9E21-968A4F173B8B}">
      <text>
        <r>
          <rPr>
            <b/>
            <sz val="9"/>
            <color indexed="81"/>
            <rFont val="Tahoma"/>
            <family val="2"/>
          </rPr>
          <t>Juan Baca:</t>
        </r>
        <r>
          <rPr>
            <sz val="9"/>
            <color indexed="81"/>
            <rFont val="Tahoma"/>
            <family val="2"/>
          </rPr>
          <t xml:space="preserve">
no clear information about age</t>
        </r>
      </text>
    </comment>
    <comment ref="X179" authorId="0" shapeId="0" xr:uid="{797EB2EA-B11A-4D73-9425-E042D6FBC652}">
      <text>
        <r>
          <rPr>
            <b/>
            <sz val="9"/>
            <color indexed="81"/>
            <rFont val="Tahoma"/>
            <family val="2"/>
          </rPr>
          <t>Juan Baca:</t>
        </r>
        <r>
          <rPr>
            <sz val="9"/>
            <color indexed="81"/>
            <rFont val="Tahoma"/>
            <family val="2"/>
          </rPr>
          <t xml:space="preserve">
 The junction was sealed
with a polysiloxane dental impression material and gently compressed around the stele (page 480)</t>
        </r>
      </text>
    </comment>
    <comment ref="J185" authorId="0" shapeId="0" xr:uid="{EF95B119-F9D8-40F9-8365-26CEFF1D7777}">
      <text>
        <r>
          <rPr>
            <b/>
            <sz val="9"/>
            <color indexed="81"/>
            <rFont val="Tahoma"/>
            <family val="2"/>
          </rPr>
          <t>Juan Baca:</t>
        </r>
        <r>
          <rPr>
            <sz val="9"/>
            <color indexed="81"/>
            <rFont val="Tahoma"/>
            <family val="2"/>
          </rPr>
          <t xml:space="preserve">
mature trees -&gt; no exact age information</t>
        </r>
      </text>
    </comment>
    <comment ref="X185" authorId="0" shapeId="0" xr:uid="{271B843C-ACCF-459A-94A2-56ABB7F91ED8}">
      <text>
        <r>
          <rPr>
            <b/>
            <sz val="9"/>
            <color indexed="81"/>
            <rFont val="Tahoma"/>
            <family val="2"/>
          </rPr>
          <t>Juan Baca:</t>
        </r>
        <r>
          <rPr>
            <sz val="9"/>
            <color indexed="81"/>
            <rFont val="Tahoma"/>
            <family val="2"/>
          </rPr>
          <t xml:space="preserve">
KS (m2 MPa–1 s–1) was calculated as the ratio between maximum Kh and mean cross-sectional area of the segment (without bark) (page 22)</t>
        </r>
      </text>
    </comment>
    <comment ref="AA185" authorId="0" shapeId="0" xr:uid="{9BCEBE64-E465-4B94-B763-CB4E718EFA8A}">
      <text>
        <r>
          <rPr>
            <b/>
            <sz val="9"/>
            <color indexed="81"/>
            <rFont val="Tahoma"/>
            <family val="2"/>
          </rPr>
          <t>Juan Baca:</t>
        </r>
        <r>
          <rPr>
            <sz val="9"/>
            <color indexed="81"/>
            <rFont val="Tahoma"/>
            <family val="2"/>
          </rPr>
          <t xml:space="preserve">
Segments at least
20 cm long and with a diameter of 6.6±0.4 mm (page 21)</t>
        </r>
      </text>
    </comment>
    <comment ref="J194" authorId="0" shapeId="0" xr:uid="{67764516-821E-456C-8EA5-BF69051D4C70}">
      <text>
        <r>
          <rPr>
            <b/>
            <sz val="9"/>
            <color indexed="81"/>
            <rFont val="Tahoma"/>
            <family val="2"/>
          </rPr>
          <t>Juan Baca:</t>
        </r>
        <r>
          <rPr>
            <sz val="9"/>
            <color indexed="81"/>
            <rFont val="Tahoma"/>
            <family val="2"/>
          </rPr>
          <t xml:space="preserve">
New roots arising from the stem or from old woody
roots were 250 to 300 mm long and averaged 1.8 mm in diameter after 30 d in wet soil (page 359) + 45 days soil drying</t>
        </r>
      </text>
    </comment>
    <comment ref="T194" authorId="0" shapeId="0" xr:uid="{A0A48BBA-E06E-427D-85D7-E2AD6FFBAA3B}">
      <text>
        <r>
          <rPr>
            <b/>
            <sz val="9"/>
            <color indexed="81"/>
            <rFont val="Tahoma"/>
            <family val="2"/>
          </rPr>
          <t>Juan Baca:</t>
        </r>
        <r>
          <rPr>
            <sz val="9"/>
            <color indexed="81"/>
            <rFont val="Tahoma"/>
            <family val="2"/>
          </rPr>
          <t xml:space="preserve">
distal, from the tip to 80 mm back; and mid-root, from 120 to 200 mm back from the tip (page 359)</t>
        </r>
      </text>
    </comment>
    <comment ref="X194" authorId="0" shapeId="0" xr:uid="{96BF77A8-51BB-435D-9365-BBD200B9D322}">
      <text>
        <r>
          <rPr>
            <b/>
            <sz val="9"/>
            <color indexed="81"/>
            <rFont val="Tahoma"/>
            <family val="2"/>
          </rPr>
          <t>Juan Baca:</t>
        </r>
        <r>
          <rPr>
            <sz val="9"/>
            <color indexed="81"/>
            <rFont val="Tahoma"/>
            <family val="2"/>
          </rPr>
          <t xml:space="preserve">
All tissues external to the stele were removed
from a 15-mm length at the proximal end of the root segments, (page 359)</t>
        </r>
      </text>
    </comment>
    <comment ref="AA194" authorId="0" shapeId="0" xr:uid="{1FA991F1-8EFB-46CA-A9AD-024C2AFBEAED}">
      <text>
        <r>
          <rPr>
            <b/>
            <sz val="9"/>
            <color indexed="81"/>
            <rFont val="Tahoma"/>
            <family val="2"/>
          </rPr>
          <t>Juan Baca:</t>
        </r>
        <r>
          <rPr>
            <sz val="9"/>
            <color indexed="81"/>
            <rFont val="Tahoma"/>
            <family val="2"/>
          </rPr>
          <t xml:space="preserve">
data from table 1</t>
        </r>
      </text>
    </comment>
    <comment ref="J198" authorId="0" shapeId="0" xr:uid="{E95C7AC8-1ACD-44DA-B986-81FF48A55A3C}">
      <text>
        <r>
          <rPr>
            <b/>
            <sz val="9"/>
            <color indexed="81"/>
            <rFont val="Tahoma"/>
            <family val="2"/>
          </rPr>
          <t>Juan Baca:</t>
        </r>
        <r>
          <rPr>
            <sz val="9"/>
            <color indexed="81"/>
            <rFont val="Tahoma"/>
            <family val="2"/>
          </rPr>
          <t xml:space="preserve">
After 90 d, plants were harvested, transferred to the laboratory (page 510)</t>
        </r>
      </text>
    </comment>
    <comment ref="W198" authorId="0" shapeId="0" xr:uid="{3386DFF6-06F0-415C-A0C0-5E4FD820D2EA}">
      <text>
        <r>
          <rPr>
            <b/>
            <sz val="9"/>
            <color indexed="81"/>
            <rFont val="Tahoma"/>
            <family val="2"/>
          </rPr>
          <t>Juan Baca:</t>
        </r>
        <r>
          <rPr>
            <sz val="9"/>
            <color indexed="81"/>
            <rFont val="Tahoma"/>
            <family val="2"/>
          </rPr>
          <t xml:space="preserve">
data extracted from table 2. original value is in ul/(cm2*min) -&gt; the unit must be converted and this value must be divided by the applied hydrostatic gradient (0.3Mpa/m), </t>
        </r>
      </text>
    </comment>
    <comment ref="Y198" authorId="0" shapeId="0" xr:uid="{42ECB5AE-47EF-4F46-9782-558B194CD6B7}">
      <text>
        <r>
          <rPr>
            <b/>
            <sz val="9"/>
            <color indexed="81"/>
            <rFont val="Tahoma"/>
            <family val="2"/>
          </rPr>
          <t>Juan Baca:</t>
        </r>
        <r>
          <rPr>
            <sz val="9"/>
            <color indexed="81"/>
            <rFont val="Tahoma"/>
            <family val="2"/>
          </rPr>
          <t xml:space="preserve">
tissue slices were placed in a Lucite chamber (exposed surface 1.5 cm2) (page 510)</t>
        </r>
      </text>
    </comment>
    <comment ref="J200" authorId="0" shapeId="0" xr:uid="{E7208CA3-5657-4F11-A1E8-5D13838CFD63}">
      <text>
        <r>
          <rPr>
            <b/>
            <sz val="9"/>
            <color indexed="81"/>
            <rFont val="Tahoma"/>
            <family val="2"/>
          </rPr>
          <t>Juan Baca:</t>
        </r>
        <r>
          <rPr>
            <sz val="9"/>
            <color indexed="81"/>
            <rFont val="Tahoma"/>
            <family val="2"/>
          </rPr>
          <t xml:space="preserve">
no clear information -&gt; old trees in the field</t>
        </r>
      </text>
    </comment>
    <comment ref="L200" authorId="0" shapeId="0" xr:uid="{2F5F9942-8209-455C-B30F-BCCDF8684D1B}">
      <text>
        <r>
          <rPr>
            <b/>
            <sz val="9"/>
            <color indexed="81"/>
            <rFont val="Tahoma"/>
            <family val="2"/>
          </rPr>
          <t>Juan Baca:</t>
        </r>
        <r>
          <rPr>
            <sz val="9"/>
            <color indexed="81"/>
            <rFont val="Tahoma"/>
            <family val="2"/>
          </rPr>
          <t xml:space="preserve">
control in this case are the healthy roots</t>
        </r>
      </text>
    </comment>
    <comment ref="S200" authorId="0" shapeId="0" xr:uid="{75E2CEAA-84DC-49DB-B4BD-1886A13B247C}">
      <text>
        <r>
          <rPr>
            <b/>
            <sz val="9"/>
            <color indexed="81"/>
            <rFont val="Tahoma"/>
            <family val="2"/>
          </rPr>
          <t>Juan Baca:</t>
        </r>
        <r>
          <rPr>
            <sz val="9"/>
            <color indexed="81"/>
            <rFont val="Tahoma"/>
            <family val="2"/>
          </rPr>
          <t xml:space="preserve">
no specification is given about which root types were used for the analysis</t>
        </r>
      </text>
    </comment>
    <comment ref="W200" authorId="0" shapeId="0" xr:uid="{1FECFF22-D9EA-4E9C-88BC-17CDFC3427E3}">
      <text>
        <r>
          <rPr>
            <b/>
            <sz val="9"/>
            <color indexed="81"/>
            <rFont val="Tahoma"/>
            <family val="2"/>
          </rPr>
          <t>Juan Baca:</t>
        </r>
        <r>
          <rPr>
            <sz val="9"/>
            <color indexed="81"/>
            <rFont val="Tahoma"/>
            <family val="2"/>
          </rPr>
          <t xml:space="preserve">
data from table 1</t>
        </r>
      </text>
    </comment>
    <comment ref="X200" authorId="0" shapeId="0" xr:uid="{B2AA0A9B-6FE7-41B0-8ED5-4C8A79EC8320}">
      <text>
        <r>
          <rPr>
            <b/>
            <sz val="9"/>
            <color indexed="81"/>
            <rFont val="Tahoma"/>
            <family val="2"/>
          </rPr>
          <t>Juan Baca:</t>
        </r>
        <r>
          <rPr>
            <sz val="9"/>
            <color indexed="81"/>
            <rFont val="Tahoma"/>
            <family val="2"/>
          </rPr>
          <t xml:space="preserve">
The ks was calculated using the entire cross-sectional area of the root. (legend table 1)</t>
        </r>
      </text>
    </comment>
    <comment ref="J203" authorId="0" shapeId="0" xr:uid="{623AA718-2801-4841-8D09-0F2E0110FE0B}">
      <text>
        <r>
          <rPr>
            <b/>
            <sz val="9"/>
            <color indexed="81"/>
            <rFont val="Tahoma"/>
            <family val="2"/>
          </rPr>
          <t>Juan Baca:</t>
        </r>
        <r>
          <rPr>
            <sz val="9"/>
            <color indexed="81"/>
            <rFont val="Tahoma"/>
            <family val="2"/>
          </rPr>
          <t xml:space="preserve">
Little further elongation occurred in wet or drying soil due to the natural death of most main root tips about 40 d after
initiation</t>
        </r>
      </text>
    </comment>
    <comment ref="S203" authorId="0" shapeId="0" xr:uid="{C29585AC-3E3B-4634-937C-D2CA2EA87272}">
      <text>
        <r>
          <rPr>
            <b/>
            <sz val="9"/>
            <color indexed="81"/>
            <rFont val="Tahoma"/>
            <family val="2"/>
          </rPr>
          <t>Juan Baca:</t>
        </r>
        <r>
          <rPr>
            <sz val="9"/>
            <color indexed="81"/>
            <rFont val="Tahoma"/>
            <family val="2"/>
          </rPr>
          <t xml:space="preserve">
Two regions of main roots and of first-order lateral roots were examined (page 134)</t>
        </r>
      </text>
    </comment>
    <comment ref="AA203" authorId="0" shapeId="0" xr:uid="{495B3C63-16DB-4383-9951-FF9693221065}">
      <text>
        <r>
          <rPr>
            <b/>
            <sz val="9"/>
            <color indexed="81"/>
            <rFont val="Tahoma"/>
            <family val="2"/>
          </rPr>
          <t>Juan Baca:</t>
        </r>
        <r>
          <rPr>
            <sz val="9"/>
            <color indexed="81"/>
            <rFont val="Tahoma"/>
            <family val="2"/>
          </rPr>
          <t xml:space="preserve">
approximately 350–400 mm long and averaged 3–0 mm in diameter after 30 d in wet soil (page 134)</t>
        </r>
      </text>
    </comment>
    <comment ref="J207" authorId="0" shapeId="0" xr:uid="{E2D51878-F0A9-49AF-819D-AF0718218794}">
      <text>
        <r>
          <rPr>
            <b/>
            <sz val="9"/>
            <color indexed="81"/>
            <rFont val="Tahoma"/>
            <family val="2"/>
          </rPr>
          <t>Juan Baca:</t>
        </r>
        <r>
          <rPr>
            <sz val="9"/>
            <color indexed="81"/>
            <rFont val="Tahoma"/>
            <family val="2"/>
          </rPr>
          <t xml:space="preserve">
field study; mature trees</t>
        </r>
      </text>
    </comment>
    <comment ref="W207" authorId="0" shapeId="0" xr:uid="{0B6AE54A-D55C-40B5-AF2F-0DBDC83CD60D}">
      <text>
        <r>
          <rPr>
            <b/>
            <sz val="9"/>
            <color indexed="81"/>
            <rFont val="Tahoma"/>
            <family val="2"/>
          </rPr>
          <t>Juan Baca:</t>
        </r>
        <r>
          <rPr>
            <sz val="9"/>
            <color indexed="81"/>
            <rFont val="Tahoma"/>
            <family val="2"/>
          </rPr>
          <t xml:space="preserve">
data imported from XFT Databse (values are not directly reported in the study)</t>
        </r>
      </text>
    </comment>
    <comment ref="X207" authorId="0" shapeId="0" xr:uid="{4FAFA881-B5AF-4CBE-8652-9D2EE52D4B2B}">
      <text>
        <r>
          <rPr>
            <b/>
            <sz val="9"/>
            <color indexed="81"/>
            <rFont val="Tahoma"/>
            <family val="2"/>
          </rPr>
          <t>Juan Baca:</t>
        </r>
        <r>
          <rPr>
            <sz val="9"/>
            <color indexed="81"/>
            <rFont val="Tahoma"/>
            <family val="2"/>
          </rPr>
          <t xml:space="preserve">
data from the XFT-database are sapwood specific conductivity</t>
        </r>
      </text>
    </comment>
    <comment ref="J209" authorId="0" shapeId="0" xr:uid="{72A1F823-7CDD-4079-BC77-80F99B110D08}">
      <text>
        <r>
          <rPr>
            <b/>
            <sz val="9"/>
            <color indexed="81"/>
            <rFont val="Tahoma"/>
            <family val="2"/>
          </rPr>
          <t>Juan Baca:</t>
        </r>
        <r>
          <rPr>
            <sz val="9"/>
            <color indexed="81"/>
            <rFont val="Tahoma"/>
            <family val="2"/>
          </rPr>
          <t xml:space="preserve">
references to the age of the trees are given at different parts in method and result section</t>
        </r>
      </text>
    </comment>
    <comment ref="X209" authorId="0" shapeId="0" xr:uid="{20B69AE5-7E37-407D-8D81-A61B0DE75FD6}">
      <text>
        <r>
          <rPr>
            <b/>
            <sz val="9"/>
            <color indexed="81"/>
            <rFont val="Tahoma"/>
            <family val="2"/>
          </rPr>
          <t>Juan Baca:</t>
        </r>
        <r>
          <rPr>
            <sz val="9"/>
            <color indexed="81"/>
            <rFont val="Tahoma"/>
            <family val="2"/>
          </rPr>
          <t xml:space="preserve">
all bark tissue down to the cambium removed and
silicone tubing fitted to the end into which the xylem stream would have been passing in vivo (page 908)</t>
        </r>
      </text>
    </comment>
    <comment ref="W212" authorId="0" shapeId="0" xr:uid="{4653ED88-5A32-433D-BF03-B186324A59B1}">
      <text>
        <r>
          <rPr>
            <b/>
            <sz val="9"/>
            <color indexed="81"/>
            <rFont val="Tahoma"/>
            <family val="2"/>
          </rPr>
          <t>Juan Baca:</t>
        </r>
        <r>
          <rPr>
            <sz val="9"/>
            <color indexed="81"/>
            <rFont val="Tahoma"/>
            <family val="2"/>
          </rPr>
          <t xml:space="preserve">
data for B. ilicifolia and A. cygnoru from text (pages 909-910)</t>
        </r>
      </text>
    </comment>
    <comment ref="J218" authorId="0" shapeId="0" xr:uid="{7688345D-1403-47EB-B63A-D5F34D094CB6}">
      <text>
        <r>
          <rPr>
            <b/>
            <sz val="9"/>
            <color indexed="81"/>
            <rFont val="Tahoma"/>
            <family val="2"/>
          </rPr>
          <t>Juan Baca:</t>
        </r>
        <r>
          <rPr>
            <sz val="9"/>
            <color indexed="81"/>
            <rFont val="Tahoma"/>
            <family val="2"/>
          </rPr>
          <t xml:space="preserve">
references to the age of the trees are given at different parts in method and result section</t>
        </r>
      </text>
    </comment>
    <comment ref="J237" authorId="0" shapeId="0" xr:uid="{654A2FAC-BDAD-4BB4-9A72-50CBCF9E3C57}">
      <text>
        <r>
          <rPr>
            <b/>
            <sz val="9"/>
            <color indexed="81"/>
            <rFont val="Tahoma"/>
            <family val="2"/>
          </rPr>
          <t>Juan Baca:</t>
        </r>
        <r>
          <rPr>
            <sz val="9"/>
            <color indexed="81"/>
            <rFont val="Tahoma"/>
            <family val="2"/>
          </rPr>
          <t xml:space="preserve">
age from table 5</t>
        </r>
      </text>
    </comment>
    <comment ref="T237" authorId="0" shapeId="0" xr:uid="{E2DF4E2B-ECE9-489B-9388-35955CB836A3}">
      <text>
        <r>
          <rPr>
            <b/>
            <sz val="9"/>
            <color indexed="81"/>
            <rFont val="Tahoma"/>
            <family val="2"/>
          </rPr>
          <t>Juan Baca:</t>
        </r>
        <r>
          <rPr>
            <sz val="9"/>
            <color indexed="81"/>
            <rFont val="Tahoma"/>
            <family val="2"/>
          </rPr>
          <t xml:space="preserve">
for lateral root: age = 14 -&gt; distal; age = 42 -&gt; basal
for main roots: distal &lt;15, mid-roots &lt; 57 and distal &gt; 56</t>
        </r>
      </text>
    </comment>
    <comment ref="V237" authorId="0" shapeId="0" xr:uid="{56E1DBBA-DB5F-4BC2-806D-4C194FCC11E3}">
      <text>
        <r>
          <rPr>
            <b/>
            <sz val="9"/>
            <color indexed="81"/>
            <rFont val="Tahoma"/>
            <family val="2"/>
          </rPr>
          <t>Juan Baca:</t>
        </r>
        <r>
          <rPr>
            <sz val="9"/>
            <color indexed="81"/>
            <rFont val="Tahoma"/>
            <family val="2"/>
          </rPr>
          <t xml:space="preserve">
data from table 5 </t>
        </r>
      </text>
    </comment>
    <comment ref="AA237" authorId="0" shapeId="0" xr:uid="{BBEF09B2-F47F-43ED-AFB1-779422348AC4}">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J255" authorId="0" shapeId="0" xr:uid="{C874C8CD-1D71-4B06-8279-252C003FDC88}">
      <text>
        <r>
          <rPr>
            <b/>
            <sz val="9"/>
            <color indexed="81"/>
            <rFont val="Tahoma"/>
            <family val="2"/>
          </rPr>
          <t>Juan Baca:</t>
        </r>
        <r>
          <rPr>
            <sz val="9"/>
            <color indexed="81"/>
            <rFont val="Tahoma"/>
            <family val="2"/>
          </rPr>
          <t xml:space="preserve">
After 6 to 22 d in hydroculture, roots were 140 to 510 mm in length (page 1306) + 3d growth in vermiculite</t>
        </r>
      </text>
    </comment>
    <comment ref="T255" authorId="0" shapeId="0" xr:uid="{10853B5A-F98B-4198-871C-BA228E13B545}">
      <text>
        <r>
          <rPr>
            <b/>
            <sz val="9"/>
            <color indexed="81"/>
            <rFont val="Tahoma"/>
            <family val="2"/>
          </rPr>
          <t>Juan Baca:</t>
        </r>
        <r>
          <rPr>
            <sz val="9"/>
            <color indexed="81"/>
            <rFont val="Tahoma"/>
            <family val="2"/>
          </rPr>
          <t xml:space="preserve">
arbitrarily defined as distance to tip &lt;10 cm, &lt;20cm and &gt; 20cm </t>
        </r>
      </text>
    </comment>
    <comment ref="J258" authorId="0" shapeId="0" xr:uid="{9C92FB4A-4969-4CFC-ADD6-04D78E5A5486}">
      <text>
        <r>
          <rPr>
            <b/>
            <sz val="9"/>
            <color indexed="81"/>
            <rFont val="Tahoma"/>
            <family val="2"/>
          </rPr>
          <t>Juan Baca:</t>
        </r>
        <r>
          <rPr>
            <sz val="9"/>
            <color indexed="81"/>
            <rFont val="Tahoma"/>
            <family val="2"/>
          </rPr>
          <t xml:space="preserve">
30-d-old lateral
roots on plants that were well-watered or droughted for different lengths of time to induce root abscission (page 1442) + 18 days of drought treatment</t>
        </r>
      </text>
    </comment>
    <comment ref="T258" authorId="0" shapeId="0" xr:uid="{0D7ADDAF-C80A-4979-AC61-84EA77D8231D}">
      <text>
        <r>
          <rPr>
            <b/>
            <sz val="9"/>
            <color indexed="81"/>
            <rFont val="Tahoma"/>
            <family val="2"/>
          </rPr>
          <t>Juan Baca:</t>
        </r>
        <r>
          <rPr>
            <sz val="9"/>
            <color indexed="81"/>
            <rFont val="Tahoma"/>
            <family val="2"/>
          </rPr>
          <t xml:space="preserve">
arbitrarily defined as distance to tip &lt;5cm, &lt;=12cm and &gt;12cm </t>
        </r>
      </text>
    </comment>
    <comment ref="AA258" authorId="0" shapeId="0" xr:uid="{E3E29B09-D804-42D3-A5AC-3BBBEB6A525E}">
      <text>
        <r>
          <rPr>
            <b/>
            <sz val="9"/>
            <color indexed="81"/>
            <rFont val="Tahoma"/>
            <family val="2"/>
          </rPr>
          <t>Juan Baca:</t>
        </r>
        <r>
          <rPr>
            <sz val="9"/>
            <color indexed="81"/>
            <rFont val="Tahoma"/>
            <family val="2"/>
          </rPr>
          <t xml:space="preserve">
Lateral roots averaging 11 mm in diameter were carefully excavated, excised from the main root, and submerged in
distilled water (page 1442)</t>
        </r>
      </text>
    </comment>
    <comment ref="T261" authorId="0" shapeId="0" xr:uid="{1C1172C6-48CA-4CB8-B61D-9668361EAEEA}">
      <text>
        <r>
          <rPr>
            <b/>
            <sz val="9"/>
            <color indexed="81"/>
            <rFont val="Tahoma"/>
            <family val="2"/>
          </rPr>
          <t>Juan Baca:</t>
        </r>
        <r>
          <rPr>
            <sz val="9"/>
            <color indexed="81"/>
            <rFont val="Tahoma"/>
            <family val="2"/>
          </rPr>
          <t xml:space="preserve">
arbitrarily defined as distance to tip &lt;10 cm, &lt;20cm and &gt; 20cm </t>
        </r>
      </text>
    </comment>
    <comment ref="J264" authorId="0" shapeId="0" xr:uid="{134B0B4D-FD8B-4BEC-9B2B-062D9C8F0EA9}">
      <text>
        <r>
          <rPr>
            <b/>
            <sz val="9"/>
            <color indexed="81"/>
            <rFont val="Tahoma"/>
            <family val="2"/>
          </rPr>
          <t>Juan Baca:</t>
        </r>
        <r>
          <rPr>
            <sz val="9"/>
            <color indexed="81"/>
            <rFont val="Tahoma"/>
            <family val="2"/>
          </rPr>
          <t xml:space="preserve">
Plants were irrigated daily
with full-strength nutrient solution for 18 d from the date ofimbibition and then exposed to water deficit by withholding
irrigation for 15 d (page 204)</t>
        </r>
      </text>
    </comment>
    <comment ref="T264" authorId="0" shapeId="0" xr:uid="{8DEAFAC2-518F-41DE-8311-5E0833E86E8A}">
      <text>
        <r>
          <rPr>
            <b/>
            <sz val="9"/>
            <color indexed="81"/>
            <rFont val="Tahoma"/>
            <family val="2"/>
          </rPr>
          <t>Juan Baca:</t>
        </r>
        <r>
          <rPr>
            <sz val="9"/>
            <color indexed="81"/>
            <rFont val="Tahoma"/>
            <family val="2"/>
          </rPr>
          <t xml:space="preserve">
the definition of mid-root and distal is based on the distance to the tip and the behaviour of Kh</t>
        </r>
      </text>
    </comment>
    <comment ref="K269" authorId="0" shapeId="0" xr:uid="{FF63DD4C-BD97-4BA7-AFCF-C99754B9921E}">
      <text>
        <r>
          <rPr>
            <b/>
            <sz val="9"/>
            <color indexed="81"/>
            <rFont val="Tahoma"/>
            <family val="2"/>
          </rPr>
          <t>Juan Baca:</t>
        </r>
        <r>
          <rPr>
            <sz val="9"/>
            <color indexed="81"/>
            <rFont val="Tahoma"/>
            <family val="2"/>
          </rPr>
          <t xml:space="preserve">
root length and number of root segments measured varied depending on the roots</t>
        </r>
      </text>
    </comment>
    <comment ref="T269" authorId="0" shapeId="0" xr:uid="{ED4A7BBA-758B-42D2-BD93-1CED1F7FE07F}">
      <text>
        <r>
          <rPr>
            <b/>
            <sz val="9"/>
            <color indexed="81"/>
            <rFont val="Tahoma"/>
            <family val="2"/>
          </rPr>
          <t>Juan Baca:</t>
        </r>
        <r>
          <rPr>
            <sz val="9"/>
            <color indexed="81"/>
            <rFont val="Tahoma"/>
            <family val="2"/>
          </rPr>
          <t xml:space="preserve">
only range of all measured segments is reported</t>
        </r>
      </text>
    </comment>
    <comment ref="J275" authorId="0" shapeId="0" xr:uid="{158759A9-944B-4CEB-ADEF-7C20E51122D0}">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 days of drought treatment (0, 7 or 30)</t>
        </r>
      </text>
    </comment>
    <comment ref="L275" authorId="0" shapeId="0" xr:uid="{6E0D34F5-2380-498B-B85F-562C8083C127}">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V275" authorId="0" shapeId="0" xr:uid="{0D623EC5-D761-4CD9-B827-5DE39DFD6AE4}">
      <text>
        <r>
          <rPr>
            <b/>
            <sz val="9"/>
            <color indexed="81"/>
            <rFont val="Tahoma"/>
            <family val="2"/>
          </rPr>
          <t>Juan Baca:</t>
        </r>
        <r>
          <rPr>
            <sz val="9"/>
            <color indexed="81"/>
            <rFont val="Tahoma"/>
            <family val="2"/>
          </rPr>
          <t xml:space="preserve">
data from table 1 (pnly data before pressurization)</t>
        </r>
      </text>
    </comment>
    <comment ref="AA275" authorId="0" shapeId="0" xr:uid="{BEC91E55-7050-403C-922B-94A6FDE180AB}">
      <text>
        <r>
          <rPr>
            <b/>
            <sz val="9"/>
            <color indexed="81"/>
            <rFont val="Tahoma"/>
            <family val="2"/>
          </rPr>
          <t>Juan Baca:</t>
        </r>
        <r>
          <rPr>
            <sz val="9"/>
            <color indexed="81"/>
            <rFont val="Tahoma"/>
            <family val="2"/>
          </rPr>
          <t xml:space="preserve">
(Klna') for 8-cm segments of established roots (young and older, 3 mm
diameter) and lateral roots (l mm diameter). (legend table 1)</t>
        </r>
      </text>
    </comment>
    <comment ref="J283" authorId="0" shapeId="0" xr:uid="{ACE69951-653F-4A7E-B5D6-7175D72DBC7E}">
      <text>
        <r>
          <rPr>
            <b/>
            <sz val="9"/>
            <color indexed="81"/>
            <rFont val="Tahoma"/>
            <family val="2"/>
          </rPr>
          <t>Juan Baca:</t>
        </r>
        <r>
          <rPr>
            <sz val="9"/>
            <color indexed="81"/>
            <rFont val="Tahoma"/>
            <family val="2"/>
          </rPr>
          <t xml:space="preserve">
Experiments were carried out on primary roots of 3 to 16 d old plants (page 719)</t>
        </r>
      </text>
    </comment>
    <comment ref="T283" authorId="0" shapeId="0" xr:uid="{D85E803D-41FB-4931-9523-3C4F6E161135}">
      <text>
        <r>
          <rPr>
            <b/>
            <sz val="9"/>
            <color indexed="81"/>
            <rFont val="Tahoma"/>
            <family val="2"/>
          </rPr>
          <t>Juan Baca:</t>
        </r>
        <r>
          <rPr>
            <sz val="9"/>
            <color indexed="81"/>
            <rFont val="Tahoma"/>
            <family val="2"/>
          </rPr>
          <t xml:space="preserve">
arbitrarily defined as distance to tip &lt;3 cm, &lt;9cm and &gt; 9cm </t>
        </r>
      </text>
    </comment>
    <comment ref="AA283" authorId="0" shapeId="0" xr:uid="{5714D1C2-4E7A-4B34-958C-B15583CACF5A}">
      <text>
        <r>
          <rPr>
            <b/>
            <sz val="9"/>
            <color indexed="81"/>
            <rFont val="Tahoma"/>
            <family val="2"/>
          </rPr>
          <t>Juan Baca:</t>
        </r>
        <r>
          <rPr>
            <sz val="9"/>
            <color indexed="81"/>
            <rFont val="Tahoma"/>
            <family val="2"/>
          </rPr>
          <t xml:space="preserve">
Excised segments of roots free of visible laterals (length, 18-140 mm; diameter, 1.0-1.4 mm) (page 720)</t>
        </r>
      </text>
    </comment>
  </commentList>
</comments>
</file>

<file path=xl/sharedStrings.xml><?xml version="1.0" encoding="utf-8"?>
<sst xmlns="http://schemas.openxmlformats.org/spreadsheetml/2006/main" count="5130" uniqueCount="417">
  <si>
    <t>Reference</t>
  </si>
  <si>
    <t>Species</t>
  </si>
  <si>
    <t>Genus</t>
  </si>
  <si>
    <t>Family</t>
  </si>
  <si>
    <t>Photo_pathway</t>
  </si>
  <si>
    <t>Age_days</t>
  </si>
  <si>
    <t>root_diameter_mm</t>
  </si>
  <si>
    <t>Control</t>
  </si>
  <si>
    <t>Picea abies</t>
  </si>
  <si>
    <t>Pseudotsuga menziesii</t>
  </si>
  <si>
    <t>Acer pseudoplatanus</t>
  </si>
  <si>
    <t>Quercus robur</t>
  </si>
  <si>
    <t>Castanea sativa</t>
  </si>
  <si>
    <t>Drought</t>
  </si>
  <si>
    <t>Fagus sylvatica</t>
  </si>
  <si>
    <t>Hafner_et_al_2020_Funct Ecol</t>
  </si>
  <si>
    <t>Hesse_etal_2019_J Plant Hydraul</t>
  </si>
  <si>
    <t>Fagus</t>
  </si>
  <si>
    <t>Fagaceae</t>
  </si>
  <si>
    <t>C3</t>
  </si>
  <si>
    <t>BDT Temperate</t>
  </si>
  <si>
    <t>Pseudotsuga</t>
  </si>
  <si>
    <t>Pinaceae</t>
  </si>
  <si>
    <t>NET Temperate</t>
  </si>
  <si>
    <t>Sapindaceae</t>
  </si>
  <si>
    <t>Acer</t>
  </si>
  <si>
    <t>Castanea</t>
  </si>
  <si>
    <t>Quercus</t>
  </si>
  <si>
    <t>Picea</t>
  </si>
  <si>
    <t>Fabaceae</t>
  </si>
  <si>
    <t>Theobroma cacao</t>
  </si>
  <si>
    <t>Gnetum gnemon</t>
  </si>
  <si>
    <t>Gliricidia sepium</t>
  </si>
  <si>
    <t>Leucaena leucocephala</t>
  </si>
  <si>
    <t>Erythrina subumbrans</t>
  </si>
  <si>
    <t>Kotowska_etal_2015_Front Plant Sci</t>
  </si>
  <si>
    <t>Malvaceae</t>
  </si>
  <si>
    <t>Theobroma</t>
  </si>
  <si>
    <t>Durio</t>
  </si>
  <si>
    <t>Gnetum</t>
  </si>
  <si>
    <t>Gliricidia</t>
  </si>
  <si>
    <t>Leucaena</t>
  </si>
  <si>
    <t>Erythrina</t>
  </si>
  <si>
    <t>BET Tropical</t>
  </si>
  <si>
    <t>Durio zibethinus</t>
  </si>
  <si>
    <t>Gnetaceae</t>
  </si>
  <si>
    <t>Santiria apiculata</t>
  </si>
  <si>
    <t>Castanopsis acuminatissima</t>
  </si>
  <si>
    <t>Platea excelsa</t>
  </si>
  <si>
    <t>Cryptocaria laevigata</t>
  </si>
  <si>
    <t>Burseraceae</t>
  </si>
  <si>
    <t>Icacinaceae</t>
  </si>
  <si>
    <t>Lauraceae</t>
  </si>
  <si>
    <t>Schuldt_etal_2013_Tree Physiol</t>
  </si>
  <si>
    <t>Santiria</t>
  </si>
  <si>
    <t>Castanopsis</t>
  </si>
  <si>
    <t>Platea</t>
  </si>
  <si>
    <t>Cryptocaria</t>
  </si>
  <si>
    <t>xylem_area_mm2</t>
  </si>
  <si>
    <t>Tilia cordata</t>
  </si>
  <si>
    <t>Carpinus betulus</t>
  </si>
  <si>
    <t>Fraxinus excelsior</t>
  </si>
  <si>
    <t>Tilia</t>
  </si>
  <si>
    <t>Betulaceae</t>
  </si>
  <si>
    <t>Carpinus</t>
  </si>
  <si>
    <t>Oleaceae</t>
  </si>
  <si>
    <t>Fraxinus</t>
  </si>
  <si>
    <t>Köcher_etal_2012_Ann For Sci</t>
  </si>
  <si>
    <t>Cerastes crassifolius</t>
  </si>
  <si>
    <t>Ceanothus spinosus</t>
  </si>
  <si>
    <t>Rhamnus californica</t>
  </si>
  <si>
    <t>Sun</t>
  </si>
  <si>
    <t>Shade</t>
  </si>
  <si>
    <t>Ceanothus</t>
  </si>
  <si>
    <t>Shrub</t>
  </si>
  <si>
    <t>BES Temperate</t>
  </si>
  <si>
    <t>Rhamnaceae</t>
  </si>
  <si>
    <t>Rhamnus</t>
  </si>
  <si>
    <t>Pratt_et_al_2010_Funct Ecol</t>
  </si>
  <si>
    <t>Barley</t>
  </si>
  <si>
    <t>Hordeum</t>
  </si>
  <si>
    <t>Poaceae</t>
  </si>
  <si>
    <t>C3 grass</t>
  </si>
  <si>
    <t>Knipfer&amp;Fricke_2011_J Exp Biol</t>
  </si>
  <si>
    <t>Ulmus alata</t>
  </si>
  <si>
    <t>Liquidambar styraciflua</t>
  </si>
  <si>
    <t>Cornus florida</t>
  </si>
  <si>
    <t>Elevated</t>
  </si>
  <si>
    <t>Pinus taeda</t>
  </si>
  <si>
    <t>Pinus</t>
  </si>
  <si>
    <t>Ulmus</t>
  </si>
  <si>
    <t>Liquidambar</t>
  </si>
  <si>
    <t>Cornus</t>
  </si>
  <si>
    <t>Ulmaceae</t>
  </si>
  <si>
    <t>Altingiaceae</t>
  </si>
  <si>
    <t>Cornaceae</t>
  </si>
  <si>
    <t>Domec_etal_2010_Tree Physiol</t>
  </si>
  <si>
    <t>Bramley_etal_2009_Plant Physiol</t>
  </si>
  <si>
    <t>Wheat</t>
  </si>
  <si>
    <t>Yellow lupin</t>
  </si>
  <si>
    <t>Lupinus</t>
  </si>
  <si>
    <t>Narrow-leafed lupin</t>
  </si>
  <si>
    <t>Triticum</t>
  </si>
  <si>
    <t>Girdling</t>
  </si>
  <si>
    <t>Domec&amp;Pruyn_2008_Tree Physiol</t>
  </si>
  <si>
    <t>Pinus contorta/pinus ponderosa</t>
  </si>
  <si>
    <t>roots 20-50cm depth</t>
  </si>
  <si>
    <t>Oxydendrum</t>
  </si>
  <si>
    <t>Cercis</t>
  </si>
  <si>
    <t>Nyssa</t>
  </si>
  <si>
    <t>Juniperus</t>
  </si>
  <si>
    <t>Acer rubrum</t>
  </si>
  <si>
    <t>Oxydendrum arboreum</t>
  </si>
  <si>
    <t>Quercus alba</t>
  </si>
  <si>
    <t>Quercus falcata</t>
  </si>
  <si>
    <t>Quercus nigra</t>
  </si>
  <si>
    <t>Quercus phellos</t>
  </si>
  <si>
    <t>Quercus rubra</t>
  </si>
  <si>
    <t>Cercis canadensis</t>
  </si>
  <si>
    <t>Nyssa sylvatica</t>
  </si>
  <si>
    <t>Juniperus virginiana</t>
  </si>
  <si>
    <t>Pinus echinata</t>
  </si>
  <si>
    <t>Oxydendreae</t>
  </si>
  <si>
    <t>BET Temperate</t>
  </si>
  <si>
    <t>BDS Temperate</t>
  </si>
  <si>
    <t>Maherali_etal_2006_Plant Cell Env</t>
  </si>
  <si>
    <t>Nyssaceae</t>
  </si>
  <si>
    <t xml:space="preserve"> 	Cupressaceae</t>
  </si>
  <si>
    <t>main root</t>
  </si>
  <si>
    <t>North_etal_2004_Plant Cell Env</t>
  </si>
  <si>
    <t>Agave</t>
  </si>
  <si>
    <t>Asparagaceae</t>
  </si>
  <si>
    <t>Agave deserti</t>
  </si>
  <si>
    <t>CAM</t>
  </si>
  <si>
    <t>Succulent</t>
  </si>
  <si>
    <t>Juniperus ashei</t>
  </si>
  <si>
    <t>Bumelia lanuginosa</t>
  </si>
  <si>
    <t>Quercus fusiformis</t>
  </si>
  <si>
    <t>McElrone_etal_2004_New Phytol</t>
  </si>
  <si>
    <t>Sapotaceae</t>
  </si>
  <si>
    <t>Bumelia</t>
  </si>
  <si>
    <t>Oliveras_etal_2003_Plant Ecol</t>
  </si>
  <si>
    <t>Pinus halepensis</t>
  </si>
  <si>
    <t>Pinus pinea</t>
  </si>
  <si>
    <t>Tetraclinis articulata</t>
  </si>
  <si>
    <t>Cupressaceae</t>
  </si>
  <si>
    <t>Tetraclinis</t>
  </si>
  <si>
    <t>Martinez-Villalta_etal_2002_Oecologia</t>
  </si>
  <si>
    <t>Juniperus oxycedrus</t>
  </si>
  <si>
    <t>Ilex aquifolium</t>
  </si>
  <si>
    <t>Phillyrea latifolia</t>
  </si>
  <si>
    <t>Cistus albidus</t>
  </si>
  <si>
    <t>Cistus laurifolius</t>
  </si>
  <si>
    <t>Arbutus unedo</t>
  </si>
  <si>
    <t>Acer monspessulanum</t>
  </si>
  <si>
    <t>Sorbus torminalis</t>
  </si>
  <si>
    <t>Quercus ilex</t>
  </si>
  <si>
    <t>Aquifoliaceae</t>
  </si>
  <si>
    <t>Cupresaceae</t>
  </si>
  <si>
    <t>Cistaceae</t>
  </si>
  <si>
    <t>Cistus</t>
  </si>
  <si>
    <t>Arbutus</t>
  </si>
  <si>
    <t>Sorbus</t>
  </si>
  <si>
    <t>Phillyrea</t>
  </si>
  <si>
    <t>Ericaceae</t>
  </si>
  <si>
    <t>Rosaceae</t>
  </si>
  <si>
    <t>Ilex</t>
  </si>
  <si>
    <t>roots 15-40cm depth</t>
  </si>
  <si>
    <t>Sugar beet</t>
  </si>
  <si>
    <t>storage root</t>
  </si>
  <si>
    <t>Amodeo_etal_1999_J Exp Biol</t>
  </si>
  <si>
    <t>Downside</t>
  </si>
  <si>
    <t>Upside</t>
  </si>
  <si>
    <t>Amaranthaceae</t>
  </si>
  <si>
    <t>Beta</t>
  </si>
  <si>
    <t>Martre_etal_2001_Plant Physiol</t>
  </si>
  <si>
    <t xml:space="preserve">Opuntia acanthocarpa </t>
  </si>
  <si>
    <t>Opuntia</t>
  </si>
  <si>
    <t>Cactaceae</t>
  </si>
  <si>
    <t>Pate_etal_1995_J Exp Biol</t>
  </si>
  <si>
    <t>Banskia prionotes</t>
  </si>
  <si>
    <t>Adenanthos cygnoru</t>
  </si>
  <si>
    <t>Banksia ilicifolia</t>
  </si>
  <si>
    <t>Opuntia ficus-indica</t>
  </si>
  <si>
    <t>main root + lateral root</t>
  </si>
  <si>
    <t>North&amp;Nobel_1996_Ann Bot</t>
  </si>
  <si>
    <t>Proteaceae</t>
  </si>
  <si>
    <t>Banskia</t>
  </si>
  <si>
    <t>Adenanthos</t>
  </si>
  <si>
    <t>Sorghum bicolor</t>
  </si>
  <si>
    <t>Sorghum</t>
  </si>
  <si>
    <t>C4</t>
  </si>
  <si>
    <t>C4 grass</t>
  </si>
  <si>
    <t>Cruz_etal_1992_Plant Physiol</t>
  </si>
  <si>
    <t>Domec_etal_2006_Plant Cell Env</t>
  </si>
  <si>
    <t>Blepharocalyx salicifolius</t>
  </si>
  <si>
    <t>Kielmeyera coriacea</t>
  </si>
  <si>
    <t>BDT Tropical</t>
  </si>
  <si>
    <t>Qualea parviflora</t>
  </si>
  <si>
    <t>Byrsonima crassa</t>
  </si>
  <si>
    <t>Myrtaceae</t>
  </si>
  <si>
    <t>Glusiaceae</t>
  </si>
  <si>
    <t>Vochysiaceae</t>
  </si>
  <si>
    <t>Malpighiaceae</t>
  </si>
  <si>
    <t>Blepharocalyx</t>
  </si>
  <si>
    <t>Kielmeyera</t>
  </si>
  <si>
    <t>Qualea</t>
  </si>
  <si>
    <t>Byrsonima</t>
  </si>
  <si>
    <t>Ahmed_etal_2018_J Exp Biol</t>
  </si>
  <si>
    <t>Maize</t>
  </si>
  <si>
    <t>Zea</t>
  </si>
  <si>
    <t xml:space="preserve">Root_section </t>
  </si>
  <si>
    <t>Measurement_method</t>
  </si>
  <si>
    <t>Pressure probe</t>
  </si>
  <si>
    <t>mid-root</t>
  </si>
  <si>
    <t>distal</t>
  </si>
  <si>
    <t>basal</t>
  </si>
  <si>
    <t>tap root</t>
  </si>
  <si>
    <t>deep root</t>
  </si>
  <si>
    <t>shallow root</t>
  </si>
  <si>
    <t>lateral root</t>
  </si>
  <si>
    <t>Doussan_etal_2006_Plant Soil</t>
  </si>
  <si>
    <t>Tension technique</t>
  </si>
  <si>
    <t>Sperry et al., 1988</t>
  </si>
  <si>
    <t>Nobel_etal_1993_J Exp Biol</t>
  </si>
  <si>
    <t>Agave mapisaga</t>
  </si>
  <si>
    <t>Agave salmiana</t>
  </si>
  <si>
    <t>Melchior&amp;Steudle_1993_Plant Physiol</t>
  </si>
  <si>
    <t>Onion</t>
  </si>
  <si>
    <t>Amaryllidaceae</t>
  </si>
  <si>
    <t>Allium</t>
  </si>
  <si>
    <t>Huang&amp;Nobel_1992_J Exp Biol</t>
  </si>
  <si>
    <t>North&amp;Nobel_1991_Am J Bot</t>
  </si>
  <si>
    <t>Frensch&amp;Steudle_1989_Plant Physiol</t>
  </si>
  <si>
    <t>TCSA</t>
  </si>
  <si>
    <t>Reference_cross_section</t>
  </si>
  <si>
    <t>Xylem embolism meter</t>
  </si>
  <si>
    <t>sapwood</t>
  </si>
  <si>
    <t>small root</t>
  </si>
  <si>
    <t>Pouteria firma</t>
  </si>
  <si>
    <t>Pouteria</t>
  </si>
  <si>
    <t>TCSA_area_mm2</t>
  </si>
  <si>
    <t>stele</t>
  </si>
  <si>
    <t>fine root</t>
  </si>
  <si>
    <t>woody root</t>
  </si>
  <si>
    <t>Perfusion</t>
  </si>
  <si>
    <t>roots 10-25cm depth</t>
  </si>
  <si>
    <t>Vacuum</t>
  </si>
  <si>
    <t>roots at 25 cm depth</t>
  </si>
  <si>
    <t>Lucite chamber</t>
  </si>
  <si>
    <t>Ranathunge_etal_2017_Ann Bot</t>
  </si>
  <si>
    <t>seminal root</t>
  </si>
  <si>
    <t>distal, mid-root</t>
  </si>
  <si>
    <t>Peach</t>
  </si>
  <si>
    <t>Prunus</t>
  </si>
  <si>
    <t>Vercambre_etal_2002_Trees</t>
  </si>
  <si>
    <t>adventitious root</t>
  </si>
  <si>
    <t>nodal root</t>
  </si>
  <si>
    <t>whole</t>
  </si>
  <si>
    <t>secondary root</t>
  </si>
  <si>
    <t>Bramley_etal_2007_Plant Cell Env</t>
  </si>
  <si>
    <t>Li_etal_2015_Trees</t>
  </si>
  <si>
    <t>Ulmus laevis</t>
  </si>
  <si>
    <t>Ulmus minor</t>
  </si>
  <si>
    <t>Pinus ponderosa</t>
  </si>
  <si>
    <t>Disease</t>
  </si>
  <si>
    <t>Disease black-stain</t>
  </si>
  <si>
    <t>Disease annosus</t>
  </si>
  <si>
    <t>roots</t>
  </si>
  <si>
    <t>Xie_etal_2022_Forests</t>
  </si>
  <si>
    <t>Sequoia sempervirens</t>
  </si>
  <si>
    <t>Sequoia</t>
  </si>
  <si>
    <t>Taxodium distichum</t>
  </si>
  <si>
    <t>Taxodium</t>
  </si>
  <si>
    <t>NDT Temperate</t>
  </si>
  <si>
    <t>horizontal root</t>
  </si>
  <si>
    <t>Pressure chamber</t>
  </si>
  <si>
    <t>Value_type</t>
  </si>
  <si>
    <t>treatment min</t>
  </si>
  <si>
    <t>treatment average</t>
  </si>
  <si>
    <t>treatment max</t>
  </si>
  <si>
    <t>Hydrostatic</t>
  </si>
  <si>
    <t>Alder_etal_1996_Oecologia</t>
  </si>
  <si>
    <t>Acer grandidentatum</t>
  </si>
  <si>
    <t>Bucci_etal_2013_Plant Cell Env</t>
  </si>
  <si>
    <t>Adesmia boronioides</t>
  </si>
  <si>
    <t>Berberis heterophylla</t>
  </si>
  <si>
    <t>Colliguaja integerrima</t>
  </si>
  <si>
    <t>Lycium chilensis</t>
  </si>
  <si>
    <t>Mulinum spinosum</t>
  </si>
  <si>
    <t>Senecio filaginoides</t>
  </si>
  <si>
    <t>Schinus johnstonii</t>
  </si>
  <si>
    <t>Adesmia</t>
  </si>
  <si>
    <t>Berberis</t>
  </si>
  <si>
    <t>Colliguaja</t>
  </si>
  <si>
    <t>Lycium</t>
  </si>
  <si>
    <t>Mulinum</t>
  </si>
  <si>
    <t>Senecio</t>
  </si>
  <si>
    <t>Schinus</t>
  </si>
  <si>
    <t>Berberidaceae</t>
  </si>
  <si>
    <t>Euphorbiaceae</t>
  </si>
  <si>
    <t>Solanaceae</t>
  </si>
  <si>
    <t>Apiaceae</t>
  </si>
  <si>
    <t>Asteraceae</t>
  </si>
  <si>
    <t>Anacardiaceae</t>
  </si>
  <si>
    <t>roots 10-40cm depth</t>
  </si>
  <si>
    <t>Hacke&amp;Jansen_2009_New Phytol</t>
  </si>
  <si>
    <t>Abies balsamea</t>
  </si>
  <si>
    <t>Picea glauca</t>
  </si>
  <si>
    <t>Picea mariana</t>
  </si>
  <si>
    <t>Abies</t>
  </si>
  <si>
    <t>NET Boreal</t>
  </si>
  <si>
    <t>Hultine_etal_2006_Tree Physiol</t>
  </si>
  <si>
    <t>Prosopis velutina</t>
  </si>
  <si>
    <t>Prosopis</t>
  </si>
  <si>
    <t>Jonhson_etal_2013_Am J Bot</t>
  </si>
  <si>
    <t>Anacardium excelsum</t>
  </si>
  <si>
    <t>Anacardium</t>
  </si>
  <si>
    <t>Pittermann_etal_2006_Plant Cell Env</t>
  </si>
  <si>
    <t>Abies lasiocarpa</t>
  </si>
  <si>
    <t>Agathis australis</t>
  </si>
  <si>
    <t>Dacrydium cupressiformis</t>
  </si>
  <si>
    <t>Juniperus osteosperma</t>
  </si>
  <si>
    <t>Picea engelmannii</t>
  </si>
  <si>
    <t>Pinus caribaea</t>
  </si>
  <si>
    <t>Pinus contorta</t>
  </si>
  <si>
    <t>Pinus monophylla</t>
  </si>
  <si>
    <t>Prumnopitys ferruginea</t>
  </si>
  <si>
    <t>Agathis</t>
  </si>
  <si>
    <t>Dacrydium</t>
  </si>
  <si>
    <t>Prumnopytis</t>
  </si>
  <si>
    <t>Araucariaceae</t>
  </si>
  <si>
    <t>Podocarpaceae</t>
  </si>
  <si>
    <t>Ceanothus crassifolius</t>
  </si>
  <si>
    <t>Ceanothus cuneatus</t>
  </si>
  <si>
    <t>Ceanothus leucodermis</t>
  </si>
  <si>
    <t>Ceanothus megacarpus</t>
  </si>
  <si>
    <t>Ceanothus oliganthus</t>
  </si>
  <si>
    <t>Rhamnus crocea</t>
  </si>
  <si>
    <t>Rhamnus ilicifolia</t>
  </si>
  <si>
    <t>Pratt_et_al_2007_Ecol Monogr</t>
  </si>
  <si>
    <t>roots 10-80cm depth</t>
  </si>
  <si>
    <t>Willson_etal_2008_Am J Bot</t>
  </si>
  <si>
    <t>Juniperus arizonica</t>
  </si>
  <si>
    <t>Juniperus barbadensis</t>
  </si>
  <si>
    <t>Juniperus californica</t>
  </si>
  <si>
    <t>Juniperus deppeana</t>
  </si>
  <si>
    <t>Juniperus flaccida</t>
  </si>
  <si>
    <t>Juniperus lucayana</t>
  </si>
  <si>
    <t>Juniperus monosperma</t>
  </si>
  <si>
    <t>Juniperus occidentalis</t>
  </si>
  <si>
    <t>Juniperus pinchotii</t>
  </si>
  <si>
    <t>Juniperus scopulorum</t>
  </si>
  <si>
    <t>NES Temperate</t>
  </si>
  <si>
    <t>Juniperus virgiana var. silicicola</t>
  </si>
  <si>
    <t>Centrifugal force method</t>
  </si>
  <si>
    <t>Domec_etal_2006_Am J Bot</t>
  </si>
  <si>
    <t>Domec_etal_2004_Oecologia</t>
  </si>
  <si>
    <t>Sperry &amp; Saliendra_1994</t>
  </si>
  <si>
    <t>Driving_force</t>
  </si>
  <si>
    <t>BDT</t>
  </si>
  <si>
    <t>BET</t>
  </si>
  <si>
    <t>Crop legume</t>
  </si>
  <si>
    <t>Crop forb</t>
  </si>
  <si>
    <t>NDT</t>
  </si>
  <si>
    <t>NET</t>
  </si>
  <si>
    <t>CO2</t>
  </si>
  <si>
    <t>Sandy loam</t>
  </si>
  <si>
    <t>Loamy clay</t>
  </si>
  <si>
    <t>Old</t>
  </si>
  <si>
    <t>Young</t>
  </si>
  <si>
    <t>Intemediate</t>
  </si>
  <si>
    <t>Drought_Age</t>
  </si>
  <si>
    <t>roots 10-30cm depth</t>
  </si>
  <si>
    <t>sinker root</t>
  </si>
  <si>
    <t>Crop monocot</t>
  </si>
  <si>
    <t>Tree</t>
  </si>
  <si>
    <t>Growth_form</t>
  </si>
  <si>
    <t>Graminoid</t>
  </si>
  <si>
    <t>Air-injection method</t>
  </si>
  <si>
    <t>Joseph_etal_1998_Tree Physiol</t>
  </si>
  <si>
    <t>Alm_etal_1992_Ann Bot</t>
  </si>
  <si>
    <t>divided in 2 segments</t>
  </si>
  <si>
    <t>divided in 3 segments</t>
  </si>
  <si>
    <t>divided in 5 segments</t>
  </si>
  <si>
    <t>vessel_density</t>
  </si>
  <si>
    <t>vessel_diameter</t>
  </si>
  <si>
    <t>Root_type</t>
  </si>
  <si>
    <t>Shading</t>
  </si>
  <si>
    <t>Stand age</t>
  </si>
  <si>
    <t>Flux direction</t>
  </si>
  <si>
    <t>Root length</t>
  </si>
  <si>
    <t>Treatment_level1</t>
  </si>
  <si>
    <t>Treatment_level2</t>
  </si>
  <si>
    <t>Treatment_level3</t>
  </si>
  <si>
    <t>Experimental_treatment</t>
  </si>
  <si>
    <t>Soil type</t>
  </si>
  <si>
    <t>Treatment_type1</t>
  </si>
  <si>
    <t>Other</t>
  </si>
  <si>
    <t>Stress</t>
  </si>
  <si>
    <t>Treatment_type2</t>
  </si>
  <si>
    <t>Treatment_type3</t>
  </si>
  <si>
    <t>Broadleaf tree</t>
  </si>
  <si>
    <t>Needle tree</t>
  </si>
  <si>
    <t>Tropical tree</t>
  </si>
  <si>
    <t>Fruit tree</t>
  </si>
  <si>
    <t>No treatment</t>
  </si>
  <si>
    <t>PFT</t>
  </si>
  <si>
    <t>Crop herbaceous</t>
  </si>
  <si>
    <t>PFT_level1</t>
  </si>
  <si>
    <t>PFT_level2</t>
  </si>
  <si>
    <t>Crop dicot</t>
  </si>
  <si>
    <t>Meunier_etal_2018_J Plant Physiol</t>
  </si>
  <si>
    <t>shoot-borne root</t>
  </si>
  <si>
    <t>White lupin</t>
  </si>
  <si>
    <t>kx</t>
  </si>
  <si>
    <t>kx_cs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</si>
</sst>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2" fontId="0" fillId="0" borderId="0" xfId="0" applyNumberFormat="1"/>
    <xf numFmtId="164" fontId="0" fillId="0" borderId="0" xfId="0" applyNumberFormat="1"/>
    <xf numFmtId="0" fontId="0" fillId="0" borderId="0" xfId="0" applyAlignment="1">
      <alignment vertical="center"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styles" Target="styles.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theme" Target="theme/theme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calcChain" Target="calcChain.xml"/><Relationship Id="rId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Meunier_etal_2018_Fig4b.xlsx" TargetMode="External"/><Relationship Id="rId1" Type="http://schemas.openxmlformats.org/officeDocument/2006/relationships/externalLinkPath" Target="digitilized_data/kx/Meunier_etal_2018_Fig4b.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igitilized_data/kx/Hacke&amp;Jansen_2009_Fig7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igitilized_data/kx/Bramley_etal_2009_Fig3b.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igitilized_data/XFT_kx.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Bramley_etal_2007_Fig6.xlsx" TargetMode="External"/><Relationship Id="rId1" Type="http://schemas.openxmlformats.org/officeDocument/2006/relationships/externalLinkPath" Target="digitilized_data/kx/Bramley_etal_2007_Fig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igitilized_data/kx/Doussan_etal_2006_Fig3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igitilized_data/kx/Doussan_etal_2006_Fig3b.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igitilized_data/kx/McElrone_eatl_2004_Fig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igitilized_data/kx/McElrone_eatl_2004_Fig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igitilized_data/kx/Vercambre_etal_2002_Fig6.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igitilized_data/kx/Martinez-Villalta_etal_2002_Fig3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Meunier_etal_2018_Fig5b.xlsx" TargetMode="External"/><Relationship Id="rId1" Type="http://schemas.openxmlformats.org/officeDocument/2006/relationships/externalLinkPath" Target="digitilized_data/kx/Meunier_etal_2018_Fig5b.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igitilized_data/kx/Martinez-Villalta_eatl_2002_Fig2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igitilized_data/kx/Martre_etal_2001_Fig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igitilized_data/kx/North&amp;Nobel_1996_Fig2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igitilized_data/kx/Pate_etal_1995_Fig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igitilized_data/kx/Pate_etal_1995_Fig3.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igitilized_data/kx/Nobel_etal_1993_Fig4b.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igitilized_data/kx/Melchior&amp;Steudle_1993_Fig3d.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Huang&amp;Nobel_1992_Fig3_ax.xlsx" TargetMode="External"/><Relationship Id="rId1" Type="http://schemas.openxmlformats.org/officeDocument/2006/relationships/externalLinkPath" Target="digitilized_data/kx/Huang&amp;Nobel_1992_Fig3_ax.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Huang&amp;Nobel_1992_Fig6_ax.xlsx" TargetMode="External"/><Relationship Id="rId1" Type="http://schemas.openxmlformats.org/officeDocument/2006/relationships/externalLinkPath" Target="digitilized_data/kx/Huang&amp;Nobel_1992_Fig6_ax.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Cruz_etal_1992_Fig3.xlsx" TargetMode="External"/><Relationship Id="rId1" Type="http://schemas.openxmlformats.org/officeDocument/2006/relationships/externalLinkPath" Target="digitilized_data/kx/Cruz_etal_1992_Fig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Ahmed_etal_2018_Fig6.xlsx" TargetMode="External"/><Relationship Id="rId1" Type="http://schemas.openxmlformats.org/officeDocument/2006/relationships/externalLinkPath" Target="digitilized_data/kx/Ahmed_etal_2018_Fig6.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Frensch&amp;Steudle_1989_Fig5.xlsx" TargetMode="External"/><Relationship Id="rId1" Type="http://schemas.openxmlformats.org/officeDocument/2006/relationships/externalLinkPath" Target="digitilized_data/kx/Frensch&amp;Steudle_1989_Fig5.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x\Ranathunge_etal_2017_Fig5b.xlsx" TargetMode="External"/><Relationship Id="rId1" Type="http://schemas.openxmlformats.org/officeDocument/2006/relationships/externalLinkPath" Target="digitilized_data/kx/Ranathunge_etal_2017_Fig5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igitilized_data/kx/Schuldt_eatl_2013_Fig4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igitilized_data/kx/Bucci_etal_2013_Fig8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igitilized_data/kx/Pratt_eatl_2010_Fig3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igitilized_data/kx/Pratt_eatl_2010_Fig3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igitilized_data/kx/Hacke&amp;Jansen_2009_Fig6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4b"/>
    </sheetNames>
    <sheetDataSet>
      <sheetData sheetId="0">
        <row r="2">
          <cell r="E2">
            <v>1.8143052909889813E-13</v>
          </cell>
        </row>
        <row r="8">
          <cell r="E8">
            <v>2.5171065986525519E-12</v>
          </cell>
        </row>
        <row r="10">
          <cell r="E10">
            <v>8.3803261295327424E-12</v>
          </cell>
        </row>
        <row r="13">
          <cell r="E13">
            <v>1.9404379049729515E-13</v>
          </cell>
        </row>
        <row r="16">
          <cell r="E16">
            <v>1.1323384424394353E-11</v>
          </cell>
        </row>
        <row r="18">
          <cell r="E18">
            <v>2.2995150483693052E-11</v>
          </cell>
        </row>
        <row r="20">
          <cell r="E20">
            <v>2.0620597178219157E-13</v>
          </cell>
        </row>
        <row r="21">
          <cell r="E21">
            <v>7.2690298804515975E-13</v>
          </cell>
        </row>
        <row r="23">
          <cell r="E23">
            <v>1.7842693144104629E-12</v>
          </cell>
        </row>
        <row r="25">
          <cell r="E25">
            <v>1.1234916302036759E-13</v>
          </cell>
        </row>
        <row r="26">
          <cell r="E26">
            <v>3.7843493815053586E-13</v>
          </cell>
        </row>
        <row r="28">
          <cell r="E28">
            <v>6.3894783579090913E-13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row r="4">
          <cell r="C4">
            <v>12.389642523333334</v>
          </cell>
        </row>
        <row r="7">
          <cell r="C7">
            <v>13.248525726666665</v>
          </cell>
        </row>
        <row r="10">
          <cell r="C10">
            <v>12.160567703333333</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mley_etal_2009_Fig3b"/>
    </sheetNames>
    <sheetDataSet>
      <sheetData sheetId="0">
        <row r="15">
          <cell r="F15">
            <v>7.9898862199747092E-12</v>
          </cell>
        </row>
        <row r="29">
          <cell r="F29">
            <v>2.56215760640539E-11</v>
          </cell>
        </row>
        <row r="44">
          <cell r="F44">
            <v>3.681415929203535E-11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FT_full_database"/>
    </sheetNames>
    <sheetDataSet>
      <sheetData sheetId="0">
        <row r="455">
          <cell r="J455">
            <v>10.9</v>
          </cell>
        </row>
        <row r="456">
          <cell r="J456">
            <v>12</v>
          </cell>
        </row>
        <row r="535">
          <cell r="J535">
            <v>3.4</v>
          </cell>
        </row>
        <row r="537">
          <cell r="J537">
            <v>4</v>
          </cell>
        </row>
        <row r="1052">
          <cell r="J1052">
            <v>43</v>
          </cell>
        </row>
        <row r="1062">
          <cell r="J1062">
            <v>2.27</v>
          </cell>
        </row>
        <row r="1064">
          <cell r="J1064">
            <v>0.46100000000000002</v>
          </cell>
        </row>
        <row r="1066">
          <cell r="J1066">
            <v>3.1389999999999998</v>
          </cell>
        </row>
        <row r="1069">
          <cell r="J1069">
            <v>2.5289999999999999</v>
          </cell>
        </row>
        <row r="1071">
          <cell r="J1071">
            <v>1.2709999999999999</v>
          </cell>
        </row>
        <row r="1073">
          <cell r="J1073">
            <v>14.676</v>
          </cell>
        </row>
        <row r="1116">
          <cell r="J1116">
            <v>9.6010000000000009</v>
          </cell>
        </row>
        <row r="1117">
          <cell r="J1117">
            <v>4.1139999999999999</v>
          </cell>
        </row>
        <row r="1118">
          <cell r="J1118">
            <v>2.2669999999999999</v>
          </cell>
        </row>
        <row r="1119">
          <cell r="J1119">
            <v>1.151</v>
          </cell>
        </row>
        <row r="1292">
          <cell r="J1292">
            <v>6.6660000000000004</v>
          </cell>
        </row>
        <row r="1293">
          <cell r="I1293">
            <v>42.177</v>
          </cell>
          <cell r="J1293">
            <v>0.62</v>
          </cell>
        </row>
        <row r="1294">
          <cell r="I1294">
            <v>38.776000000000003</v>
          </cell>
          <cell r="J1294">
            <v>4.24</v>
          </cell>
        </row>
        <row r="1298">
          <cell r="I1298">
            <v>47.591999999999999</v>
          </cell>
          <cell r="J1298">
            <v>13.53</v>
          </cell>
        </row>
        <row r="1299">
          <cell r="I1299">
            <v>43.094000000000001</v>
          </cell>
          <cell r="J1299">
            <v>7.45</v>
          </cell>
        </row>
        <row r="1300">
          <cell r="I1300">
            <v>49.05</v>
          </cell>
          <cell r="J1300">
            <v>8.11</v>
          </cell>
        </row>
        <row r="1304">
          <cell r="I1304">
            <v>43.930999999999997</v>
          </cell>
          <cell r="J1304">
            <v>2.419</v>
          </cell>
        </row>
        <row r="1305">
          <cell r="I1305">
            <v>64.569000000000003</v>
          </cell>
          <cell r="J1305">
            <v>13.67</v>
          </cell>
        </row>
        <row r="1306">
          <cell r="I1306">
            <v>38.683999999999997</v>
          </cell>
          <cell r="J1306">
            <v>2.9129999999999998</v>
          </cell>
        </row>
        <row r="1353">
          <cell r="I1353">
            <v>49.133000000000003</v>
          </cell>
          <cell r="J1353">
            <v>2.82</v>
          </cell>
        </row>
        <row r="1355">
          <cell r="J1355">
            <v>1.52</v>
          </cell>
        </row>
        <row r="1538">
          <cell r="J1538">
            <v>3.91</v>
          </cell>
        </row>
        <row r="1904">
          <cell r="J1904">
            <v>3.48</v>
          </cell>
        </row>
        <row r="1906">
          <cell r="J1906">
            <v>2.23</v>
          </cell>
        </row>
        <row r="1910">
          <cell r="J1910">
            <v>3.98</v>
          </cell>
        </row>
        <row r="1918">
          <cell r="J1918">
            <v>2.0099999999999998</v>
          </cell>
        </row>
        <row r="1919">
          <cell r="J1919">
            <v>4.84</v>
          </cell>
        </row>
        <row r="1952">
          <cell r="J1952">
            <v>3.89</v>
          </cell>
        </row>
        <row r="1953">
          <cell r="J1953">
            <v>2.95</v>
          </cell>
        </row>
        <row r="1954">
          <cell r="J1954">
            <v>3.05</v>
          </cell>
        </row>
        <row r="1955">
          <cell r="J1955">
            <v>2.67</v>
          </cell>
        </row>
        <row r="1956">
          <cell r="J1956">
            <v>2.06</v>
          </cell>
        </row>
        <row r="1957">
          <cell r="J1957">
            <v>8.17</v>
          </cell>
        </row>
        <row r="1958">
          <cell r="J1958">
            <v>1.49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amley_etal_2007_Fig6"/>
    </sheetNames>
    <sheetDataSet>
      <sheetData sheetId="0">
        <row r="14">
          <cell r="F14">
            <v>4.0279756762963632E-11</v>
          </cell>
        </row>
        <row r="25">
          <cell r="F25">
            <v>6.4889606107639941E-11</v>
          </cell>
        </row>
        <row r="31">
          <cell r="F31">
            <v>3.0678412761433666E-11</v>
          </cell>
        </row>
        <row r="43">
          <cell r="F43">
            <v>1.2604831945413012E-11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ussan_eatl_2006_Fig3a"/>
    </sheetNames>
    <sheetDataSet>
      <sheetData sheetId="0">
        <row r="5">
          <cell r="C5">
            <v>2.3895885566047108E-11</v>
          </cell>
        </row>
        <row r="9">
          <cell r="C9">
            <v>1.9158287278028503E-10</v>
          </cell>
        </row>
        <row r="16">
          <cell r="C16">
            <v>2.961700470863359E-10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ussan_eatl_2006_Fig3b"/>
    </sheetNames>
    <sheetDataSet>
      <sheetData sheetId="0">
        <row r="3">
          <cell r="B3">
            <v>5</v>
          </cell>
        </row>
        <row r="4">
          <cell r="B4">
            <v>6</v>
          </cell>
        </row>
        <row r="5">
          <cell r="D5">
            <v>2.8286384976525801E-12</v>
          </cell>
        </row>
        <row r="6">
          <cell r="D6">
            <v>8.0516431924882606E-12</v>
          </cell>
        </row>
        <row r="8">
          <cell r="D8">
            <v>1.5211267605633798E-11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Elrone_eatl_2004_Fig4"/>
    </sheetNames>
    <sheetDataSet>
      <sheetData sheetId="0">
        <row r="2">
          <cell r="C2">
            <v>2.2494669509594802E-2</v>
          </cell>
        </row>
        <row r="3">
          <cell r="C3">
            <v>9.3816631130063891E-3</v>
          </cell>
        </row>
        <row r="4">
          <cell r="C4">
            <v>4.2537313432835802E-2</v>
          </cell>
        </row>
        <row r="5">
          <cell r="C5">
            <v>1.5245202558635401E-2</v>
          </cell>
        </row>
        <row r="6">
          <cell r="C6">
            <v>1.7303370786516802E-3</v>
          </cell>
        </row>
        <row r="7">
          <cell r="C7">
            <v>1.4662921348314599E-3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Elrone_eatl_2004_Fig1"/>
    </sheetNames>
    <sheetDataSet>
      <sheetData sheetId="0">
        <row r="2">
          <cell r="B2">
            <v>53.542600896861003</v>
          </cell>
        </row>
        <row r="3">
          <cell r="B3">
            <v>43.587443946188301</v>
          </cell>
        </row>
        <row r="4">
          <cell r="B4">
            <v>96.591928251121004</v>
          </cell>
        </row>
        <row r="5">
          <cell r="B5">
            <v>62.690582959641198</v>
          </cell>
        </row>
        <row r="6">
          <cell r="B6">
            <v>22.062780269058301</v>
          </cell>
        </row>
        <row r="7">
          <cell r="B7">
            <v>16.143497757847499</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cambre_etal_2002_Fig6"/>
    </sheetNames>
    <sheetDataSet>
      <sheetData sheetId="0">
        <row r="25">
          <cell r="C25">
            <v>0.199651955288592</v>
          </cell>
          <cell r="D25">
            <v>1.38E-11</v>
          </cell>
        </row>
        <row r="26">
          <cell r="C26">
            <v>0.82897532813538899</v>
          </cell>
          <cell r="D26">
            <v>1.2081430243643154E-10</v>
          </cell>
        </row>
        <row r="27">
          <cell r="C27">
            <v>2.3022963357017399</v>
          </cell>
          <cell r="D27">
            <v>8.2831331063477403E-10</v>
          </cell>
        </row>
        <row r="35">
          <cell r="C35">
            <v>3.8166128804609998</v>
          </cell>
          <cell r="D35">
            <v>1.08457834986939E-8</v>
          </cell>
        </row>
        <row r="36">
          <cell r="C36">
            <v>8.2271078079034847</v>
          </cell>
          <cell r="D36">
            <v>9.8962418899232349E-8</v>
          </cell>
        </row>
        <row r="37">
          <cell r="C37">
            <v>14.624879010504101</v>
          </cell>
          <cell r="D37">
            <v>5.7400000000000003E-7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inez-Villalta_Fig3a"/>
    </sheetNames>
    <sheetDataSet>
      <sheetData sheetId="0">
        <row r="2">
          <cell r="B2">
            <v>1.2595419847328199E-3</v>
          </cell>
        </row>
        <row r="3">
          <cell r="B3">
            <v>2.79898218829517E-4</v>
          </cell>
        </row>
        <row r="4">
          <cell r="B4">
            <v>1.90839694656488E-3</v>
          </cell>
        </row>
        <row r="5">
          <cell r="B5">
            <v>1.5012722646310401E-3</v>
          </cell>
        </row>
        <row r="6">
          <cell r="B6">
            <v>2.4936386768447802E-3</v>
          </cell>
        </row>
        <row r="7">
          <cell r="B7">
            <v>1.5776081424936301E-3</v>
          </cell>
        </row>
        <row r="8">
          <cell r="B8">
            <v>1.2468193384223901E-3</v>
          </cell>
        </row>
        <row r="9">
          <cell r="B9">
            <v>5.7888040712468104E-3</v>
          </cell>
        </row>
        <row r="10">
          <cell r="B10">
            <v>6.0178117048346001E-3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5b"/>
    </sheetNames>
    <sheetDataSet>
      <sheetData sheetId="0">
        <row r="3">
          <cell r="D3">
            <v>1.3411029858552054E-13</v>
          </cell>
        </row>
        <row r="4">
          <cell r="D4">
            <v>4.0976948488549422E-13</v>
          </cell>
        </row>
        <row r="6">
          <cell r="D6">
            <v>5.2405268340473553E-13</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inez-Villalta_eatl_2002_Fig"/>
    </sheetNames>
    <sheetDataSet>
      <sheetData sheetId="0">
        <row r="2">
          <cell r="B2">
            <v>15.499999999999901</v>
          </cell>
        </row>
        <row r="3">
          <cell r="B3">
            <v>20.249999999999901</v>
          </cell>
        </row>
        <row r="4">
          <cell r="B4">
            <v>25.5</v>
          </cell>
        </row>
        <row r="5">
          <cell r="B5">
            <v>27.25</v>
          </cell>
        </row>
        <row r="6">
          <cell r="B6">
            <v>34.75</v>
          </cell>
        </row>
        <row r="7">
          <cell r="B7">
            <v>42.5</v>
          </cell>
        </row>
        <row r="8">
          <cell r="B8">
            <v>41.75</v>
          </cell>
        </row>
        <row r="9">
          <cell r="B9">
            <v>48.124999999999901</v>
          </cell>
        </row>
        <row r="10">
          <cell r="B10">
            <v>73.749999999999901</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4"/>
    </sheetNames>
    <sheetDataSet>
      <sheetData sheetId="0">
        <row r="2">
          <cell r="C2">
            <v>3.7218045112781899E-11</v>
          </cell>
        </row>
        <row r="3">
          <cell r="C3">
            <v>3.8721804511278098E-11</v>
          </cell>
        </row>
        <row r="4">
          <cell r="C4">
            <v>4.1353383458646594E-12</v>
          </cell>
        </row>
        <row r="5">
          <cell r="C5">
            <v>2.8822055137844596E-12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2b"/>
    </sheetNames>
    <sheetDataSet>
      <sheetData sheetId="0">
        <row r="2">
          <cell r="B2">
            <v>1.61951219512195E-11</v>
          </cell>
        </row>
        <row r="3">
          <cell r="B3">
            <v>1.2195121951219501E-11</v>
          </cell>
        </row>
        <row r="5">
          <cell r="B5">
            <v>4.0975609756097501E-11</v>
          </cell>
        </row>
        <row r="6">
          <cell r="B6">
            <v>1.6390243902439E-11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E4">
            <v>1.4E-2</v>
          </cell>
        </row>
        <row r="5">
          <cell r="E5">
            <v>2.0200000000000003E-2</v>
          </cell>
        </row>
        <row r="6">
          <cell r="E6">
            <v>2.6000000000000002E-2</v>
          </cell>
        </row>
        <row r="10">
          <cell r="E10">
            <v>3.9E-2</v>
          </cell>
        </row>
        <row r="11">
          <cell r="E11">
            <v>0.36299999999999999</v>
          </cell>
        </row>
        <row r="12">
          <cell r="E12">
            <v>0.74099999999999999</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e_etal_1995_Fig3"/>
    </sheetNames>
    <sheetDataSet>
      <sheetData sheetId="0">
        <row r="2">
          <cell r="D2">
            <v>6.3731170336036903E-3</v>
          </cell>
        </row>
        <row r="3">
          <cell r="D3">
            <v>6.9524913093858397E-3</v>
          </cell>
        </row>
        <row r="4">
          <cell r="D4">
            <v>1.04287369640787E-2</v>
          </cell>
        </row>
        <row r="5">
          <cell r="D5">
            <v>1.04287369640787E-2</v>
          </cell>
        </row>
        <row r="6">
          <cell r="D6">
            <v>4.7508690614136602E-2</v>
          </cell>
        </row>
        <row r="7">
          <cell r="D7">
            <v>0.12688296639629101</v>
          </cell>
        </row>
        <row r="8">
          <cell r="D8">
            <v>0.130359212050984</v>
          </cell>
        </row>
        <row r="9">
          <cell r="D9">
            <v>0.16338354577056699</v>
          </cell>
        </row>
        <row r="10">
          <cell r="D10">
            <v>0.22132097334878301</v>
          </cell>
        </row>
        <row r="11">
          <cell r="D11">
            <v>0.19988412514484299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bel_etal_1993_Fig4b"/>
    </sheetNames>
    <sheetDataSet>
      <sheetData sheetId="0">
        <row r="2">
          <cell r="C2">
            <v>7</v>
          </cell>
          <cell r="D2">
            <v>8.9908256880734699E-13</v>
          </cell>
        </row>
        <row r="3">
          <cell r="C3">
            <v>14</v>
          </cell>
          <cell r="D3">
            <v>1.76146788990826E-12</v>
          </cell>
        </row>
        <row r="4">
          <cell r="C4">
            <v>28</v>
          </cell>
          <cell r="D4">
            <v>2.0366972477064301E-12</v>
          </cell>
        </row>
        <row r="5">
          <cell r="C5">
            <v>42</v>
          </cell>
          <cell r="D5">
            <v>2.3669724770642201E-12</v>
          </cell>
        </row>
        <row r="6">
          <cell r="C6">
            <v>56</v>
          </cell>
          <cell r="D6">
            <v>2.91743119266056E-12</v>
          </cell>
        </row>
        <row r="7">
          <cell r="C7">
            <v>84</v>
          </cell>
          <cell r="D7">
            <v>3.1743119266055098E-12</v>
          </cell>
        </row>
        <row r="8">
          <cell r="C8">
            <v>112</v>
          </cell>
          <cell r="D8">
            <v>3.3211009174311998E-12</v>
          </cell>
        </row>
        <row r="9">
          <cell r="C9">
            <v>7</v>
          </cell>
          <cell r="D9">
            <v>9.3577981651376808E-13</v>
          </cell>
        </row>
        <row r="10">
          <cell r="C10">
            <v>14</v>
          </cell>
          <cell r="D10">
            <v>1.7064220183486301E-12</v>
          </cell>
        </row>
        <row r="11">
          <cell r="C11">
            <v>28</v>
          </cell>
          <cell r="D11">
            <v>2.1834862385321201E-12</v>
          </cell>
        </row>
        <row r="12">
          <cell r="C12">
            <v>42</v>
          </cell>
          <cell r="D12">
            <v>2.2201834862385398E-12</v>
          </cell>
        </row>
        <row r="13">
          <cell r="C13">
            <v>56</v>
          </cell>
          <cell r="D13">
            <v>2.62385321100918E-12</v>
          </cell>
        </row>
        <row r="14">
          <cell r="C14">
            <v>84</v>
          </cell>
          <cell r="D14">
            <v>2.9541284403669801E-12</v>
          </cell>
        </row>
        <row r="15">
          <cell r="C15">
            <v>112</v>
          </cell>
          <cell r="D15">
            <v>3.5963302752293601E-12</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lchior&amp;Steudle_1993_Fig3d"/>
    </sheetNames>
    <sheetDataSet>
      <sheetData sheetId="0">
        <row r="7">
          <cell r="C7">
            <v>3.54749356219553E-11</v>
          </cell>
        </row>
        <row r="20">
          <cell r="C20">
            <v>4.2275317896117102E-10</v>
          </cell>
        </row>
        <row r="32">
          <cell r="C32">
            <v>9.7255784720550693E-10</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3"/>
    </sheetNames>
    <sheetDataSet>
      <sheetData sheetId="0">
        <row r="2">
          <cell r="C2">
            <v>4.5778846520859598E-13</v>
          </cell>
        </row>
        <row r="5">
          <cell r="C5">
            <v>9.2769444126366007E-13</v>
          </cell>
        </row>
        <row r="6">
          <cell r="C6">
            <v>1.57705255925798E-12</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6"/>
    </sheetNames>
    <sheetDataSet>
      <sheetData sheetId="0">
        <row r="3">
          <cell r="C3">
            <v>9.4675537331095041E-14</v>
          </cell>
        </row>
        <row r="5">
          <cell r="C5">
            <v>3.2226380823953503E-13</v>
          </cell>
        </row>
        <row r="7">
          <cell r="C7">
            <v>4.2358821586812304E-13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uz_eatl_1992_Fig3"/>
    </sheetNames>
    <sheetDataSet>
      <sheetData sheetId="0">
        <row r="5">
          <cell r="M5">
            <v>6.4591367036883067E-12</v>
          </cell>
        </row>
        <row r="8">
          <cell r="M8">
            <v>2.5669778717520366E-12</v>
          </cell>
        </row>
        <row r="9">
          <cell r="F9">
            <v>1.1369609692102904E-10</v>
          </cell>
        </row>
        <row r="12">
          <cell r="F12">
            <v>9.0406703945000242E-11</v>
          </cell>
        </row>
        <row r="14">
          <cell r="F14">
            <v>6.8485324626116092E-11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hmed_etal_2018_Fig6"/>
    </sheetNames>
    <sheetDataSet>
      <sheetData sheetId="0">
        <row r="8">
          <cell r="C8">
            <v>5.968992248062006E-13</v>
          </cell>
        </row>
        <row r="12">
          <cell r="C12">
            <v>1.8488372093023225E-12</v>
          </cell>
        </row>
        <row r="15">
          <cell r="C15">
            <v>2.1860465116279036E-12</v>
          </cell>
        </row>
        <row r="21">
          <cell r="C21">
            <v>3.7209302325581522E-13</v>
          </cell>
        </row>
        <row r="26">
          <cell r="C26">
            <v>3.1906976744186011E-12</v>
          </cell>
        </row>
        <row r="29">
          <cell r="C29">
            <v>1.0224806201550368E-11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ensch&amp;Steudle_1989_Fig5"/>
    </sheetNames>
    <sheetDataSet>
      <sheetData sheetId="0">
        <row r="8">
          <cell r="E8">
            <v>6.5324436132877258E-13</v>
          </cell>
        </row>
        <row r="23">
          <cell r="E23">
            <v>2.4754557863985056E-11</v>
          </cell>
        </row>
        <row r="40">
          <cell r="E40">
            <v>3.7935745588682237E-11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nathunge_etal_2017_Fig5"/>
    </sheetNames>
    <sheetDataSet>
      <sheetData sheetId="0">
        <row r="10">
          <cell r="E10">
            <v>8.2956885672194048E-13</v>
          </cell>
        </row>
        <row r="13">
          <cell r="E13">
            <v>4.6103112865565067E-12</v>
          </cell>
        </row>
        <row r="17">
          <cell r="E17">
            <v>2.0797019647018232E-10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uldt_eatl_2013_Fig4a"/>
    </sheetNames>
    <sheetDataSet>
      <sheetData sheetId="0">
        <row r="7">
          <cell r="C7">
            <v>1.928571428571426E-2</v>
          </cell>
        </row>
        <row r="12">
          <cell r="C12">
            <v>4.3714285714285699E-2</v>
          </cell>
        </row>
        <row r="15">
          <cell r="C15">
            <v>3.37566137566137E-2</v>
          </cell>
        </row>
        <row r="20">
          <cell r="C20">
            <v>2.4412698412698379E-2</v>
          </cell>
        </row>
        <row r="22">
          <cell r="C22">
            <v>9.5238095238094848E-3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row r="2">
          <cell r="B2">
            <v>2.1402999999999999E-3</v>
          </cell>
        </row>
        <row r="3">
          <cell r="B3">
            <v>5.465E-4</v>
          </cell>
        </row>
        <row r="4">
          <cell r="B4">
            <v>5.4316000000000008E-3</v>
          </cell>
        </row>
        <row r="5">
          <cell r="B5">
            <v>7.1420000000000001E-4</v>
          </cell>
        </row>
        <row r="6">
          <cell r="B6">
            <v>1.8442E-3</v>
          </cell>
        </row>
        <row r="7">
          <cell r="B7">
            <v>2.0499999999999997E-3</v>
          </cell>
        </row>
        <row r="8">
          <cell r="B8">
            <v>3.2000000000000002E-3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atl_2010_Fig3c"/>
    </sheetNames>
    <sheetDataSet>
      <sheetData sheetId="0">
        <row r="2">
          <cell r="C2">
            <v>4.0375921650671498E-12</v>
          </cell>
        </row>
        <row r="3">
          <cell r="C3">
            <v>3.7101182782137297E-12</v>
          </cell>
        </row>
        <row r="4">
          <cell r="C4">
            <v>2.6081137612015102E-12</v>
          </cell>
        </row>
        <row r="5">
          <cell r="C5">
            <v>1.18989928642709E-10</v>
          </cell>
        </row>
        <row r="6">
          <cell r="C6">
            <v>5.1794746792311999E-11</v>
          </cell>
        </row>
        <row r="7">
          <cell r="C7">
            <v>1.79929362329155E-11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atl_2010_Fig3e"/>
    </sheetNames>
    <sheetDataSet>
      <sheetData sheetId="0">
        <row r="2">
          <cell r="C2">
            <v>1.0480128284813199E-11</v>
          </cell>
        </row>
        <row r="3">
          <cell r="C3">
            <v>2.40356237574193E-11</v>
          </cell>
        </row>
        <row r="4">
          <cell r="C4">
            <v>4.5695959453616594E-12</v>
          </cell>
        </row>
        <row r="5">
          <cell r="C5">
            <v>2.09793612219554E-10</v>
          </cell>
        </row>
        <row r="6">
          <cell r="C6">
            <v>1.0237249769744401E-10</v>
          </cell>
        </row>
        <row r="7">
          <cell r="C7">
            <v>1.1783738485633301E-10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row r="4">
          <cell r="D4">
            <v>3.3212766433333334E-4</v>
          </cell>
        </row>
        <row r="7">
          <cell r="D7">
            <v>3.4841495966666668E-4</v>
          </cell>
        </row>
        <row r="10">
          <cell r="D10">
            <v>2.8915505700000002E-4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3BFA3-4E3C-43B8-9FAE-D4F279DC8C5B}">
  <dimension ref="A1:AD285"/>
  <sheetViews>
    <sheetView tabSelected="1" zoomScale="85" zoomScaleNormal="85" workbookViewId="0">
      <pane ySplit="1" topLeftCell="A2" activePane="bottomLeft" state="frozen"/>
      <selection activeCell="R1" sqref="R1"/>
      <selection pane="bottomLeft" activeCell="H2" sqref="H2"/>
    </sheetView>
  </sheetViews>
  <sheetFormatPr defaultRowHeight="14.5" x14ac:dyDescent="0.35"/>
  <cols>
    <col min="1" max="1" width="37.81640625" bestFit="1" customWidth="1"/>
    <col min="2" max="2" width="31.54296875" customWidth="1"/>
    <col min="3" max="3" width="20" customWidth="1"/>
    <col min="4" max="4" width="15.54296875" customWidth="1"/>
    <col min="5" max="5" width="18" customWidth="1"/>
    <col min="6" max="7" width="15.26953125" customWidth="1"/>
    <col min="8" max="8" width="16.54296875" bestFit="1" customWidth="1"/>
    <col min="9" max="9" width="15.26953125" customWidth="1"/>
    <col min="10" max="10" width="12.26953125" customWidth="1"/>
    <col min="11" max="11" width="35.1796875" customWidth="1"/>
    <col min="12" max="17" width="21.453125" customWidth="1"/>
    <col min="18" max="18" width="18.26953125" customWidth="1"/>
    <col min="19" max="19" width="23" customWidth="1"/>
    <col min="20" max="20" width="16.453125" customWidth="1"/>
    <col min="21" max="21" width="20" customWidth="1"/>
    <col min="22" max="22" width="19.81640625" style="1" customWidth="1"/>
    <col min="23" max="23" width="19.81640625" customWidth="1"/>
    <col min="24" max="24" width="27" customWidth="1"/>
    <col min="25" max="26" width="19.26953125" customWidth="1"/>
    <col min="27" max="27" width="18.54296875" customWidth="1"/>
    <col min="28" max="28" width="20.7265625" bestFit="1" customWidth="1"/>
    <col min="29" max="29" width="23.54296875" bestFit="1" customWidth="1"/>
    <col min="30" max="30" width="22.453125" bestFit="1" customWidth="1"/>
  </cols>
  <sheetData>
    <row r="1" spans="1:30" x14ac:dyDescent="0.35">
      <c r="A1" t="s">
        <v>0</v>
      </c>
      <c r="B1" t="s">
        <v>1</v>
      </c>
      <c r="C1" t="s">
        <v>2</v>
      </c>
      <c r="D1" t="s">
        <v>3</v>
      </c>
      <c r="E1" t="s">
        <v>4</v>
      </c>
      <c r="F1" t="s">
        <v>409</v>
      </c>
      <c r="G1" t="s">
        <v>410</v>
      </c>
      <c r="H1" t="s">
        <v>407</v>
      </c>
      <c r="I1" t="s">
        <v>377</v>
      </c>
      <c r="J1" t="s">
        <v>5</v>
      </c>
      <c r="K1" t="s">
        <v>395</v>
      </c>
      <c r="L1" t="s">
        <v>392</v>
      </c>
      <c r="M1" t="s">
        <v>397</v>
      </c>
      <c r="N1" t="s">
        <v>393</v>
      </c>
      <c r="O1" t="s">
        <v>400</v>
      </c>
      <c r="P1" t="s">
        <v>394</v>
      </c>
      <c r="Q1" t="s">
        <v>401</v>
      </c>
      <c r="R1" t="s">
        <v>277</v>
      </c>
      <c r="S1" t="s">
        <v>387</v>
      </c>
      <c r="T1" t="s">
        <v>211</v>
      </c>
      <c r="U1" t="s">
        <v>359</v>
      </c>
      <c r="V1" s="1" t="s">
        <v>415</v>
      </c>
      <c r="W1" t="s">
        <v>416</v>
      </c>
      <c r="X1" t="s">
        <v>235</v>
      </c>
      <c r="Y1" t="s">
        <v>241</v>
      </c>
      <c r="Z1" t="s">
        <v>58</v>
      </c>
      <c r="AA1" t="s">
        <v>6</v>
      </c>
      <c r="AB1" t="s">
        <v>386</v>
      </c>
      <c r="AC1" t="s">
        <v>385</v>
      </c>
      <c r="AD1" t="s">
        <v>212</v>
      </c>
    </row>
    <row r="2" spans="1:30" x14ac:dyDescent="0.35">
      <c r="A2" t="s">
        <v>269</v>
      </c>
      <c r="B2" t="s">
        <v>270</v>
      </c>
      <c r="C2" t="s">
        <v>271</v>
      </c>
      <c r="D2" t="s">
        <v>145</v>
      </c>
      <c r="E2" t="s">
        <v>19</v>
      </c>
      <c r="F2" t="s">
        <v>23</v>
      </c>
      <c r="G2" t="s">
        <v>365</v>
      </c>
      <c r="H2" t="s">
        <v>403</v>
      </c>
      <c r="I2" t="s">
        <v>376</v>
      </c>
      <c r="K2" t="s">
        <v>406</v>
      </c>
      <c r="L2" t="s">
        <v>406</v>
      </c>
      <c r="M2" t="s">
        <v>406</v>
      </c>
      <c r="R2" t="s">
        <v>279</v>
      </c>
      <c r="S2" t="s">
        <v>275</v>
      </c>
      <c r="T2" t="s">
        <v>258</v>
      </c>
      <c r="U2" t="s">
        <v>281</v>
      </c>
      <c r="W2" s="1">
        <v>8.2500000000000004E-3</v>
      </c>
      <c r="X2" t="s">
        <v>237</v>
      </c>
      <c r="AA2">
        <f>+AVERAGE(4,6)</f>
        <v>5</v>
      </c>
      <c r="AB2">
        <v>29.23</v>
      </c>
      <c r="AD2" t="s">
        <v>276</v>
      </c>
    </row>
    <row r="3" spans="1:30" x14ac:dyDescent="0.35">
      <c r="A3" t="s">
        <v>269</v>
      </c>
      <c r="B3" t="s">
        <v>272</v>
      </c>
      <c r="C3" t="s">
        <v>273</v>
      </c>
      <c r="D3" t="s">
        <v>145</v>
      </c>
      <c r="E3" t="s">
        <v>19</v>
      </c>
      <c r="F3" t="s">
        <v>274</v>
      </c>
      <c r="G3" t="s">
        <v>364</v>
      </c>
      <c r="H3" t="s">
        <v>403</v>
      </c>
      <c r="I3" t="s">
        <v>376</v>
      </c>
      <c r="K3" t="s">
        <v>406</v>
      </c>
      <c r="L3" t="s">
        <v>406</v>
      </c>
      <c r="M3" t="s">
        <v>406</v>
      </c>
      <c r="R3" t="s">
        <v>279</v>
      </c>
      <c r="S3" t="s">
        <v>275</v>
      </c>
      <c r="T3" t="s">
        <v>258</v>
      </c>
      <c r="U3" t="s">
        <v>281</v>
      </c>
      <c r="W3" s="1">
        <v>1.1900000000000001E-3</v>
      </c>
      <c r="X3" t="s">
        <v>237</v>
      </c>
      <c r="AA3">
        <f t="shared" ref="AA3:AA4" si="0">+AVERAGE(4,6)</f>
        <v>5</v>
      </c>
      <c r="AB3">
        <v>34.5</v>
      </c>
      <c r="AD3" t="s">
        <v>276</v>
      </c>
    </row>
    <row r="4" spans="1:30" x14ac:dyDescent="0.35">
      <c r="A4" t="s">
        <v>269</v>
      </c>
      <c r="B4" t="s">
        <v>272</v>
      </c>
      <c r="C4" t="s">
        <v>273</v>
      </c>
      <c r="D4" t="s">
        <v>145</v>
      </c>
      <c r="E4" t="s">
        <v>19</v>
      </c>
      <c r="F4" t="s">
        <v>274</v>
      </c>
      <c r="G4" t="s">
        <v>364</v>
      </c>
      <c r="H4" t="s">
        <v>403</v>
      </c>
      <c r="I4" t="s">
        <v>376</v>
      </c>
      <c r="K4" t="s">
        <v>406</v>
      </c>
      <c r="L4" t="s">
        <v>406</v>
      </c>
      <c r="M4" t="s">
        <v>406</v>
      </c>
      <c r="R4" t="s">
        <v>279</v>
      </c>
      <c r="S4" t="s">
        <v>275</v>
      </c>
      <c r="T4" t="s">
        <v>258</v>
      </c>
      <c r="U4" t="s">
        <v>281</v>
      </c>
      <c r="W4" s="1">
        <v>1.3600000000000001E-3</v>
      </c>
      <c r="X4" t="s">
        <v>237</v>
      </c>
      <c r="AA4">
        <f t="shared" si="0"/>
        <v>5</v>
      </c>
      <c r="AB4">
        <v>33.799999999999997</v>
      </c>
      <c r="AD4" t="s">
        <v>276</v>
      </c>
    </row>
    <row r="5" spans="1:30" x14ac:dyDescent="0.35">
      <c r="A5" t="s">
        <v>15</v>
      </c>
      <c r="B5" t="s">
        <v>8</v>
      </c>
      <c r="C5" t="s">
        <v>28</v>
      </c>
      <c r="D5" t="s">
        <v>22</v>
      </c>
      <c r="E5" t="s">
        <v>19</v>
      </c>
      <c r="F5" t="s">
        <v>23</v>
      </c>
      <c r="G5" t="s">
        <v>365</v>
      </c>
      <c r="H5" t="s">
        <v>403</v>
      </c>
      <c r="I5" t="s">
        <v>376</v>
      </c>
      <c r="J5">
        <f>+AVERAGE(2,4)*365</f>
        <v>1095</v>
      </c>
      <c r="K5" t="s">
        <v>13</v>
      </c>
      <c r="L5" t="s">
        <v>13</v>
      </c>
      <c r="M5" t="s">
        <v>399</v>
      </c>
      <c r="R5" t="s">
        <v>279</v>
      </c>
      <c r="S5" t="s">
        <v>268</v>
      </c>
      <c r="T5" t="s">
        <v>258</v>
      </c>
      <c r="U5" t="s">
        <v>281</v>
      </c>
      <c r="W5" s="1">
        <v>2.7E-4</v>
      </c>
      <c r="X5" t="s">
        <v>242</v>
      </c>
      <c r="AB5">
        <v>9.9600000000000009</v>
      </c>
      <c r="AD5" t="s">
        <v>236</v>
      </c>
    </row>
    <row r="6" spans="1:30" x14ac:dyDescent="0.35">
      <c r="A6" t="s">
        <v>15</v>
      </c>
      <c r="B6" t="s">
        <v>9</v>
      </c>
      <c r="C6" t="s">
        <v>21</v>
      </c>
      <c r="D6" t="s">
        <v>22</v>
      </c>
      <c r="E6" t="s">
        <v>19</v>
      </c>
      <c r="F6" t="s">
        <v>23</v>
      </c>
      <c r="G6" t="s">
        <v>365</v>
      </c>
      <c r="H6" t="s">
        <v>403</v>
      </c>
      <c r="I6" t="s">
        <v>376</v>
      </c>
      <c r="J6">
        <f t="shared" ref="J6:J15" si="1">+AVERAGE(2,4)*365</f>
        <v>1095</v>
      </c>
      <c r="K6" t="s">
        <v>13</v>
      </c>
      <c r="L6" t="s">
        <v>13</v>
      </c>
      <c r="M6" t="s">
        <v>399</v>
      </c>
      <c r="R6" t="s">
        <v>279</v>
      </c>
      <c r="S6" t="s">
        <v>268</v>
      </c>
      <c r="T6" t="s">
        <v>258</v>
      </c>
      <c r="U6" t="s">
        <v>281</v>
      </c>
      <c r="W6" s="1">
        <v>3.4000000000000002E-4</v>
      </c>
      <c r="X6" t="s">
        <v>242</v>
      </c>
      <c r="AB6">
        <v>11.25</v>
      </c>
      <c r="AD6" t="s">
        <v>236</v>
      </c>
    </row>
    <row r="7" spans="1:30" x14ac:dyDescent="0.35">
      <c r="A7" t="s">
        <v>15</v>
      </c>
      <c r="B7" t="s">
        <v>10</v>
      </c>
      <c r="C7" t="s">
        <v>25</v>
      </c>
      <c r="D7" t="s">
        <v>24</v>
      </c>
      <c r="E7" t="s">
        <v>19</v>
      </c>
      <c r="F7" t="s">
        <v>20</v>
      </c>
      <c r="G7" t="s">
        <v>360</v>
      </c>
      <c r="H7" t="s">
        <v>402</v>
      </c>
      <c r="I7" t="s">
        <v>376</v>
      </c>
      <c r="J7">
        <f t="shared" si="1"/>
        <v>1095</v>
      </c>
      <c r="K7" t="s">
        <v>13</v>
      </c>
      <c r="L7" t="s">
        <v>13</v>
      </c>
      <c r="M7" t="s">
        <v>399</v>
      </c>
      <c r="R7" t="s">
        <v>279</v>
      </c>
      <c r="S7" t="s">
        <v>268</v>
      </c>
      <c r="T7" t="s">
        <v>258</v>
      </c>
      <c r="U7" t="s">
        <v>281</v>
      </c>
      <c r="W7" s="1">
        <v>6.0999999999999997E-4</v>
      </c>
      <c r="X7" t="s">
        <v>242</v>
      </c>
      <c r="AB7">
        <v>27.42</v>
      </c>
      <c r="AD7" t="s">
        <v>236</v>
      </c>
    </row>
    <row r="8" spans="1:30" x14ac:dyDescent="0.35">
      <c r="A8" t="s">
        <v>15</v>
      </c>
      <c r="B8" t="s">
        <v>11</v>
      </c>
      <c r="C8" t="s">
        <v>27</v>
      </c>
      <c r="D8" t="s">
        <v>18</v>
      </c>
      <c r="E8" t="s">
        <v>19</v>
      </c>
      <c r="F8" t="s">
        <v>20</v>
      </c>
      <c r="G8" t="s">
        <v>360</v>
      </c>
      <c r="H8" t="s">
        <v>402</v>
      </c>
      <c r="I8" t="s">
        <v>376</v>
      </c>
      <c r="J8">
        <f t="shared" si="1"/>
        <v>1095</v>
      </c>
      <c r="K8" t="s">
        <v>13</v>
      </c>
      <c r="L8" t="s">
        <v>13</v>
      </c>
      <c r="M8" t="s">
        <v>399</v>
      </c>
      <c r="R8" t="s">
        <v>279</v>
      </c>
      <c r="S8" t="s">
        <v>268</v>
      </c>
      <c r="T8" t="s">
        <v>258</v>
      </c>
      <c r="U8" t="s">
        <v>281</v>
      </c>
      <c r="W8" s="1">
        <v>6.4000000000000005E-4</v>
      </c>
      <c r="X8" t="s">
        <v>242</v>
      </c>
      <c r="AB8">
        <v>34.99</v>
      </c>
      <c r="AD8" t="s">
        <v>236</v>
      </c>
    </row>
    <row r="9" spans="1:30" x14ac:dyDescent="0.35">
      <c r="A9" t="s">
        <v>15</v>
      </c>
      <c r="B9" t="s">
        <v>12</v>
      </c>
      <c r="C9" t="s">
        <v>26</v>
      </c>
      <c r="D9" t="s">
        <v>18</v>
      </c>
      <c r="E9" t="s">
        <v>19</v>
      </c>
      <c r="F9" t="s">
        <v>20</v>
      </c>
      <c r="G9" t="s">
        <v>360</v>
      </c>
      <c r="H9" t="s">
        <v>402</v>
      </c>
      <c r="I9" t="s">
        <v>376</v>
      </c>
      <c r="J9">
        <f t="shared" si="1"/>
        <v>1095</v>
      </c>
      <c r="K9" t="s">
        <v>13</v>
      </c>
      <c r="L9" t="s">
        <v>13</v>
      </c>
      <c r="M9" t="s">
        <v>399</v>
      </c>
      <c r="R9" t="s">
        <v>279</v>
      </c>
      <c r="S9" t="s">
        <v>268</v>
      </c>
      <c r="T9" t="s">
        <v>258</v>
      </c>
      <c r="U9" t="s">
        <v>281</v>
      </c>
      <c r="W9" s="1">
        <v>4.6000000000000001E-4</v>
      </c>
      <c r="X9" t="s">
        <v>242</v>
      </c>
      <c r="AB9">
        <v>44.22</v>
      </c>
      <c r="AD9" t="s">
        <v>236</v>
      </c>
    </row>
    <row r="10" spans="1:30" x14ac:dyDescent="0.35">
      <c r="A10" t="s">
        <v>16</v>
      </c>
      <c r="B10" t="s">
        <v>8</v>
      </c>
      <c r="C10" t="s">
        <v>28</v>
      </c>
      <c r="D10" t="s">
        <v>22</v>
      </c>
      <c r="E10" t="s">
        <v>19</v>
      </c>
      <c r="F10" t="s">
        <v>23</v>
      </c>
      <c r="G10" t="s">
        <v>365</v>
      </c>
      <c r="H10" t="s">
        <v>403</v>
      </c>
      <c r="I10" t="s">
        <v>376</v>
      </c>
      <c r="J10">
        <f t="shared" si="1"/>
        <v>1095</v>
      </c>
      <c r="K10" t="s">
        <v>406</v>
      </c>
      <c r="L10" t="s">
        <v>406</v>
      </c>
      <c r="M10" t="s">
        <v>406</v>
      </c>
      <c r="R10" t="s">
        <v>279</v>
      </c>
      <c r="S10" t="s">
        <v>259</v>
      </c>
      <c r="T10" t="s">
        <v>258</v>
      </c>
      <c r="U10" t="s">
        <v>281</v>
      </c>
      <c r="W10" s="1">
        <v>2.8000000000000003E-4</v>
      </c>
      <c r="X10" t="s">
        <v>242</v>
      </c>
      <c r="Y10" s="3"/>
      <c r="AA10">
        <v>2.6</v>
      </c>
      <c r="AD10" t="s">
        <v>236</v>
      </c>
    </row>
    <row r="11" spans="1:30" x14ac:dyDescent="0.35">
      <c r="A11" t="s">
        <v>16</v>
      </c>
      <c r="B11" t="s">
        <v>9</v>
      </c>
      <c r="C11" t="s">
        <v>21</v>
      </c>
      <c r="D11" t="s">
        <v>22</v>
      </c>
      <c r="E11" t="s">
        <v>19</v>
      </c>
      <c r="F11" t="s">
        <v>23</v>
      </c>
      <c r="G11" t="s">
        <v>365</v>
      </c>
      <c r="H11" t="s">
        <v>403</v>
      </c>
      <c r="I11" t="s">
        <v>376</v>
      </c>
      <c r="J11">
        <f t="shared" si="1"/>
        <v>1095</v>
      </c>
      <c r="K11" t="s">
        <v>406</v>
      </c>
      <c r="L11" t="s">
        <v>406</v>
      </c>
      <c r="M11" t="s">
        <v>406</v>
      </c>
      <c r="R11" t="s">
        <v>279</v>
      </c>
      <c r="S11" t="s">
        <v>259</v>
      </c>
      <c r="T11" t="s">
        <v>258</v>
      </c>
      <c r="U11" t="s">
        <v>281</v>
      </c>
      <c r="W11" s="1">
        <v>3.2000000000000003E-4</v>
      </c>
      <c r="X11" t="s">
        <v>242</v>
      </c>
      <c r="AA11">
        <v>2.6</v>
      </c>
      <c r="AD11" t="s">
        <v>236</v>
      </c>
    </row>
    <row r="12" spans="1:30" x14ac:dyDescent="0.35">
      <c r="A12" t="s">
        <v>16</v>
      </c>
      <c r="B12" t="s">
        <v>10</v>
      </c>
      <c r="C12" t="s">
        <v>25</v>
      </c>
      <c r="D12" t="s">
        <v>24</v>
      </c>
      <c r="E12" t="s">
        <v>19</v>
      </c>
      <c r="F12" t="s">
        <v>20</v>
      </c>
      <c r="G12" t="s">
        <v>360</v>
      </c>
      <c r="H12" t="s">
        <v>402</v>
      </c>
      <c r="I12" t="s">
        <v>376</v>
      </c>
      <c r="J12">
        <f t="shared" si="1"/>
        <v>1095</v>
      </c>
      <c r="K12" t="s">
        <v>406</v>
      </c>
      <c r="L12" t="s">
        <v>406</v>
      </c>
      <c r="M12" t="s">
        <v>406</v>
      </c>
      <c r="R12" t="s">
        <v>279</v>
      </c>
      <c r="S12" t="s">
        <v>259</v>
      </c>
      <c r="T12" t="s">
        <v>258</v>
      </c>
      <c r="U12" t="s">
        <v>281</v>
      </c>
      <c r="W12" s="1">
        <v>1.2099999999999999E-3</v>
      </c>
      <c r="X12" t="s">
        <v>242</v>
      </c>
      <c r="AA12">
        <v>2.6</v>
      </c>
      <c r="AD12" t="s">
        <v>236</v>
      </c>
    </row>
    <row r="13" spans="1:30" x14ac:dyDescent="0.35">
      <c r="A13" t="s">
        <v>16</v>
      </c>
      <c r="B13" t="s">
        <v>12</v>
      </c>
      <c r="C13" t="s">
        <v>26</v>
      </c>
      <c r="D13" t="s">
        <v>18</v>
      </c>
      <c r="E13" t="s">
        <v>19</v>
      </c>
      <c r="F13" t="s">
        <v>20</v>
      </c>
      <c r="G13" t="s">
        <v>360</v>
      </c>
      <c r="H13" t="s">
        <v>402</v>
      </c>
      <c r="I13" t="s">
        <v>376</v>
      </c>
      <c r="J13">
        <f t="shared" si="1"/>
        <v>1095</v>
      </c>
      <c r="K13" t="s">
        <v>406</v>
      </c>
      <c r="L13" t="s">
        <v>406</v>
      </c>
      <c r="M13" t="s">
        <v>406</v>
      </c>
      <c r="R13" t="s">
        <v>279</v>
      </c>
      <c r="S13" t="s">
        <v>259</v>
      </c>
      <c r="T13" t="s">
        <v>258</v>
      </c>
      <c r="U13" t="s">
        <v>281</v>
      </c>
      <c r="W13" s="1">
        <v>2.3900000000000002E-3</v>
      </c>
      <c r="X13" t="s">
        <v>242</v>
      </c>
      <c r="AA13">
        <v>2.6</v>
      </c>
      <c r="AD13" t="s">
        <v>236</v>
      </c>
    </row>
    <row r="14" spans="1:30" x14ac:dyDescent="0.35">
      <c r="A14" t="s">
        <v>16</v>
      </c>
      <c r="B14" t="s">
        <v>14</v>
      </c>
      <c r="C14" t="s">
        <v>17</v>
      </c>
      <c r="D14" t="s">
        <v>18</v>
      </c>
      <c r="E14" t="s">
        <v>19</v>
      </c>
      <c r="F14" t="s">
        <v>20</v>
      </c>
      <c r="G14" t="s">
        <v>360</v>
      </c>
      <c r="H14" t="s">
        <v>402</v>
      </c>
      <c r="I14" t="s">
        <v>376</v>
      </c>
      <c r="J14">
        <f t="shared" si="1"/>
        <v>1095</v>
      </c>
      <c r="K14" t="s">
        <v>406</v>
      </c>
      <c r="L14" t="s">
        <v>406</v>
      </c>
      <c r="M14" t="s">
        <v>406</v>
      </c>
      <c r="R14" t="s">
        <v>279</v>
      </c>
      <c r="S14" t="s">
        <v>259</v>
      </c>
      <c r="T14" t="s">
        <v>258</v>
      </c>
      <c r="U14" t="s">
        <v>281</v>
      </c>
      <c r="W14" s="1">
        <v>1.3500000000000001E-3</v>
      </c>
      <c r="X14" t="s">
        <v>242</v>
      </c>
      <c r="AA14">
        <v>2.6</v>
      </c>
      <c r="AD14" t="s">
        <v>236</v>
      </c>
    </row>
    <row r="15" spans="1:30" x14ac:dyDescent="0.35">
      <c r="A15" t="s">
        <v>16</v>
      </c>
      <c r="B15" t="s">
        <v>11</v>
      </c>
      <c r="C15" t="s">
        <v>27</v>
      </c>
      <c r="D15" t="s">
        <v>18</v>
      </c>
      <c r="E15" t="s">
        <v>19</v>
      </c>
      <c r="F15" t="s">
        <v>20</v>
      </c>
      <c r="G15" t="s">
        <v>360</v>
      </c>
      <c r="H15" t="s">
        <v>402</v>
      </c>
      <c r="I15" t="s">
        <v>376</v>
      </c>
      <c r="J15">
        <f t="shared" si="1"/>
        <v>1095</v>
      </c>
      <c r="K15" t="s">
        <v>406</v>
      </c>
      <c r="L15" t="s">
        <v>406</v>
      </c>
      <c r="M15" t="s">
        <v>406</v>
      </c>
      <c r="R15" t="s">
        <v>279</v>
      </c>
      <c r="S15" t="s">
        <v>259</v>
      </c>
      <c r="T15" t="s">
        <v>258</v>
      </c>
      <c r="U15" t="s">
        <v>281</v>
      </c>
      <c r="W15" s="1">
        <v>2.0499999999999997E-3</v>
      </c>
      <c r="X15" t="s">
        <v>242</v>
      </c>
      <c r="AA15">
        <v>2.6</v>
      </c>
      <c r="AD15" t="s">
        <v>236</v>
      </c>
    </row>
    <row r="16" spans="1:30" x14ac:dyDescent="0.35">
      <c r="A16" t="s">
        <v>412</v>
      </c>
      <c r="B16" t="s">
        <v>209</v>
      </c>
      <c r="C16" t="s">
        <v>210</v>
      </c>
      <c r="D16" t="s">
        <v>81</v>
      </c>
      <c r="E16" t="s">
        <v>191</v>
      </c>
      <c r="F16" t="s">
        <v>192</v>
      </c>
      <c r="G16" t="s">
        <v>192</v>
      </c>
      <c r="H16" t="s">
        <v>192</v>
      </c>
      <c r="I16" t="s">
        <v>378</v>
      </c>
      <c r="J16">
        <f>7*7</f>
        <v>49</v>
      </c>
      <c r="K16" t="s">
        <v>406</v>
      </c>
      <c r="L16" t="s">
        <v>406</v>
      </c>
      <c r="M16" t="s">
        <v>406</v>
      </c>
      <c r="R16" t="s">
        <v>279</v>
      </c>
      <c r="S16" t="s">
        <v>256</v>
      </c>
      <c r="T16" t="s">
        <v>215</v>
      </c>
      <c r="U16" t="s">
        <v>281</v>
      </c>
      <c r="V16" s="1">
        <f>[1]Meunier_etal_2018_Fig4b!$E$2</f>
        <v>1.8143052909889813E-13</v>
      </c>
      <c r="W16" s="1"/>
      <c r="AA16">
        <v>1.04</v>
      </c>
      <c r="AD16" t="s">
        <v>213</v>
      </c>
    </row>
    <row r="17" spans="1:30" x14ac:dyDescent="0.35">
      <c r="A17" t="s">
        <v>412</v>
      </c>
      <c r="B17" t="s">
        <v>209</v>
      </c>
      <c r="C17" t="s">
        <v>210</v>
      </c>
      <c r="D17" t="s">
        <v>81</v>
      </c>
      <c r="E17" t="s">
        <v>191</v>
      </c>
      <c r="F17" t="s">
        <v>192</v>
      </c>
      <c r="G17" t="s">
        <v>192</v>
      </c>
      <c r="H17" t="s">
        <v>192</v>
      </c>
      <c r="I17" t="s">
        <v>378</v>
      </c>
      <c r="J17">
        <f t="shared" ref="J17:J30" si="2">7*7</f>
        <v>49</v>
      </c>
      <c r="K17" t="s">
        <v>406</v>
      </c>
      <c r="L17" t="s">
        <v>406</v>
      </c>
      <c r="M17" t="s">
        <v>406</v>
      </c>
      <c r="R17" t="s">
        <v>279</v>
      </c>
      <c r="S17" t="s">
        <v>256</v>
      </c>
      <c r="T17" t="s">
        <v>214</v>
      </c>
      <c r="U17" t="s">
        <v>281</v>
      </c>
      <c r="V17" s="1">
        <f>[1]Meunier_etal_2018_Fig4b!$E$8</f>
        <v>2.5171065986525519E-12</v>
      </c>
      <c r="W17" s="1"/>
      <c r="AA17">
        <v>1.04</v>
      </c>
      <c r="AD17" t="s">
        <v>213</v>
      </c>
    </row>
    <row r="18" spans="1:30" x14ac:dyDescent="0.35">
      <c r="A18" t="s">
        <v>412</v>
      </c>
      <c r="B18" t="s">
        <v>209</v>
      </c>
      <c r="C18" t="s">
        <v>210</v>
      </c>
      <c r="D18" t="s">
        <v>81</v>
      </c>
      <c r="E18" t="s">
        <v>191</v>
      </c>
      <c r="F18" t="s">
        <v>192</v>
      </c>
      <c r="G18" t="s">
        <v>192</v>
      </c>
      <c r="H18" t="s">
        <v>192</v>
      </c>
      <c r="I18" t="s">
        <v>378</v>
      </c>
      <c r="J18">
        <f t="shared" si="2"/>
        <v>49</v>
      </c>
      <c r="K18" t="s">
        <v>406</v>
      </c>
      <c r="L18" t="s">
        <v>406</v>
      </c>
      <c r="M18" t="s">
        <v>406</v>
      </c>
      <c r="R18" t="s">
        <v>279</v>
      </c>
      <c r="S18" t="s">
        <v>256</v>
      </c>
      <c r="T18" t="s">
        <v>216</v>
      </c>
      <c r="U18" t="s">
        <v>281</v>
      </c>
      <c r="V18" s="1">
        <f>[1]Meunier_etal_2018_Fig4b!$E$10</f>
        <v>8.3803261295327424E-12</v>
      </c>
      <c r="W18" s="1"/>
      <c r="AA18">
        <v>1.04</v>
      </c>
      <c r="AD18" t="s">
        <v>213</v>
      </c>
    </row>
    <row r="19" spans="1:30" x14ac:dyDescent="0.35">
      <c r="A19" t="s">
        <v>412</v>
      </c>
      <c r="B19" t="s">
        <v>209</v>
      </c>
      <c r="C19" t="s">
        <v>210</v>
      </c>
      <c r="D19" t="s">
        <v>81</v>
      </c>
      <c r="E19" t="s">
        <v>191</v>
      </c>
      <c r="F19" t="s">
        <v>192</v>
      </c>
      <c r="G19" t="s">
        <v>192</v>
      </c>
      <c r="H19" t="s">
        <v>192</v>
      </c>
      <c r="I19" t="s">
        <v>378</v>
      </c>
      <c r="J19">
        <f t="shared" si="2"/>
        <v>49</v>
      </c>
      <c r="K19" t="s">
        <v>406</v>
      </c>
      <c r="L19" t="s">
        <v>406</v>
      </c>
      <c r="M19" t="s">
        <v>406</v>
      </c>
      <c r="R19" t="s">
        <v>279</v>
      </c>
      <c r="S19" t="s">
        <v>413</v>
      </c>
      <c r="T19" t="s">
        <v>215</v>
      </c>
      <c r="U19" t="s">
        <v>281</v>
      </c>
      <c r="V19" s="1">
        <f>[1]Meunier_etal_2018_Fig4b!$E$13</f>
        <v>1.9404379049729515E-13</v>
      </c>
      <c r="W19" s="1"/>
      <c r="AA19" s="2">
        <v>1.34</v>
      </c>
      <c r="AD19" t="s">
        <v>213</v>
      </c>
    </row>
    <row r="20" spans="1:30" x14ac:dyDescent="0.35">
      <c r="A20" t="s">
        <v>412</v>
      </c>
      <c r="B20" t="s">
        <v>209</v>
      </c>
      <c r="C20" t="s">
        <v>210</v>
      </c>
      <c r="D20" t="s">
        <v>81</v>
      </c>
      <c r="E20" t="s">
        <v>191</v>
      </c>
      <c r="F20" t="s">
        <v>192</v>
      </c>
      <c r="G20" t="s">
        <v>192</v>
      </c>
      <c r="H20" t="s">
        <v>192</v>
      </c>
      <c r="I20" t="s">
        <v>378</v>
      </c>
      <c r="J20">
        <f t="shared" si="2"/>
        <v>49</v>
      </c>
      <c r="K20" t="s">
        <v>406</v>
      </c>
      <c r="L20" t="s">
        <v>406</v>
      </c>
      <c r="M20" t="s">
        <v>406</v>
      </c>
      <c r="R20" t="s">
        <v>279</v>
      </c>
      <c r="S20" t="s">
        <v>413</v>
      </c>
      <c r="T20" t="s">
        <v>214</v>
      </c>
      <c r="U20" t="s">
        <v>281</v>
      </c>
      <c r="V20" s="1">
        <f>[1]Meunier_etal_2018_Fig4b!$E$16</f>
        <v>1.1323384424394353E-11</v>
      </c>
      <c r="W20" s="1"/>
      <c r="AA20" s="2">
        <v>1.34</v>
      </c>
      <c r="AD20" t="s">
        <v>213</v>
      </c>
    </row>
    <row r="21" spans="1:30" x14ac:dyDescent="0.35">
      <c r="A21" t="s">
        <v>412</v>
      </c>
      <c r="B21" t="s">
        <v>209</v>
      </c>
      <c r="C21" t="s">
        <v>210</v>
      </c>
      <c r="D21" t="s">
        <v>81</v>
      </c>
      <c r="E21" t="s">
        <v>191</v>
      </c>
      <c r="F21" t="s">
        <v>192</v>
      </c>
      <c r="G21" t="s">
        <v>192</v>
      </c>
      <c r="H21" t="s">
        <v>192</v>
      </c>
      <c r="I21" t="s">
        <v>378</v>
      </c>
      <c r="J21">
        <f t="shared" si="2"/>
        <v>49</v>
      </c>
      <c r="K21" t="s">
        <v>406</v>
      </c>
      <c r="L21" t="s">
        <v>406</v>
      </c>
      <c r="M21" t="s">
        <v>406</v>
      </c>
      <c r="R21" t="s">
        <v>279</v>
      </c>
      <c r="S21" t="s">
        <v>413</v>
      </c>
      <c r="T21" t="s">
        <v>216</v>
      </c>
      <c r="U21" t="s">
        <v>281</v>
      </c>
      <c r="V21" s="1">
        <f>[1]Meunier_etal_2018_Fig4b!$E$18</f>
        <v>2.2995150483693052E-11</v>
      </c>
      <c r="W21" s="1"/>
      <c r="AA21" s="2">
        <v>1.34</v>
      </c>
      <c r="AD21" t="s">
        <v>213</v>
      </c>
    </row>
    <row r="22" spans="1:30" x14ac:dyDescent="0.35">
      <c r="A22" t="s">
        <v>412</v>
      </c>
      <c r="B22" t="s">
        <v>209</v>
      </c>
      <c r="C22" t="s">
        <v>210</v>
      </c>
      <c r="D22" t="s">
        <v>81</v>
      </c>
      <c r="E22" t="s">
        <v>191</v>
      </c>
      <c r="F22" t="s">
        <v>192</v>
      </c>
      <c r="G22" t="s">
        <v>192</v>
      </c>
      <c r="H22" t="s">
        <v>192</v>
      </c>
      <c r="I22" t="s">
        <v>378</v>
      </c>
      <c r="J22">
        <f t="shared" si="2"/>
        <v>49</v>
      </c>
      <c r="K22" t="s">
        <v>406</v>
      </c>
      <c r="L22" t="s">
        <v>406</v>
      </c>
      <c r="M22" t="s">
        <v>406</v>
      </c>
      <c r="R22" t="s">
        <v>279</v>
      </c>
      <c r="S22" t="s">
        <v>251</v>
      </c>
      <c r="T22" t="s">
        <v>215</v>
      </c>
      <c r="U22" t="s">
        <v>281</v>
      </c>
      <c r="V22" s="1">
        <f>[1]Meunier_etal_2018_Fig4b!$E$20</f>
        <v>2.0620597178219157E-13</v>
      </c>
      <c r="W22" s="1"/>
      <c r="AA22" s="2">
        <v>0.74</v>
      </c>
      <c r="AD22" t="s">
        <v>213</v>
      </c>
    </row>
    <row r="23" spans="1:30" x14ac:dyDescent="0.35">
      <c r="A23" t="s">
        <v>412</v>
      </c>
      <c r="B23" t="s">
        <v>209</v>
      </c>
      <c r="C23" t="s">
        <v>210</v>
      </c>
      <c r="D23" t="s">
        <v>81</v>
      </c>
      <c r="E23" t="s">
        <v>191</v>
      </c>
      <c r="F23" t="s">
        <v>192</v>
      </c>
      <c r="G23" t="s">
        <v>192</v>
      </c>
      <c r="H23" t="s">
        <v>192</v>
      </c>
      <c r="I23" t="s">
        <v>378</v>
      </c>
      <c r="J23">
        <f t="shared" si="2"/>
        <v>49</v>
      </c>
      <c r="K23" t="s">
        <v>406</v>
      </c>
      <c r="L23" t="s">
        <v>406</v>
      </c>
      <c r="M23" t="s">
        <v>406</v>
      </c>
      <c r="R23" t="s">
        <v>279</v>
      </c>
      <c r="S23" t="s">
        <v>251</v>
      </c>
      <c r="T23" t="s">
        <v>214</v>
      </c>
      <c r="U23" t="s">
        <v>281</v>
      </c>
      <c r="V23" s="1">
        <f>[1]Meunier_etal_2018_Fig4b!$E$21</f>
        <v>7.2690298804515975E-13</v>
      </c>
      <c r="W23" s="1"/>
      <c r="AA23" s="2">
        <v>0.74</v>
      </c>
      <c r="AD23" t="s">
        <v>213</v>
      </c>
    </row>
    <row r="24" spans="1:30" x14ac:dyDescent="0.35">
      <c r="A24" t="s">
        <v>412</v>
      </c>
      <c r="B24" t="s">
        <v>209</v>
      </c>
      <c r="C24" t="s">
        <v>210</v>
      </c>
      <c r="D24" t="s">
        <v>81</v>
      </c>
      <c r="E24" t="s">
        <v>191</v>
      </c>
      <c r="F24" t="s">
        <v>192</v>
      </c>
      <c r="G24" t="s">
        <v>192</v>
      </c>
      <c r="H24" t="s">
        <v>192</v>
      </c>
      <c r="I24" t="s">
        <v>378</v>
      </c>
      <c r="J24">
        <f t="shared" si="2"/>
        <v>49</v>
      </c>
      <c r="K24" t="s">
        <v>406</v>
      </c>
      <c r="L24" t="s">
        <v>406</v>
      </c>
      <c r="M24" t="s">
        <v>406</v>
      </c>
      <c r="R24" t="s">
        <v>279</v>
      </c>
      <c r="S24" t="s">
        <v>251</v>
      </c>
      <c r="T24" t="s">
        <v>216</v>
      </c>
      <c r="U24" t="s">
        <v>281</v>
      </c>
      <c r="V24" s="1">
        <f>[1]Meunier_etal_2018_Fig4b!$E$23</f>
        <v>1.7842693144104629E-12</v>
      </c>
      <c r="W24" s="1"/>
      <c r="AA24" s="2">
        <v>0.74</v>
      </c>
      <c r="AD24" t="s">
        <v>213</v>
      </c>
    </row>
    <row r="25" spans="1:30" x14ac:dyDescent="0.35">
      <c r="A25" t="s">
        <v>412</v>
      </c>
      <c r="B25" t="s">
        <v>209</v>
      </c>
      <c r="C25" t="s">
        <v>210</v>
      </c>
      <c r="D25" t="s">
        <v>81</v>
      </c>
      <c r="E25" t="s">
        <v>191</v>
      </c>
      <c r="F25" t="s">
        <v>192</v>
      </c>
      <c r="G25" t="s">
        <v>192</v>
      </c>
      <c r="H25" t="s">
        <v>192</v>
      </c>
      <c r="I25" t="s">
        <v>378</v>
      </c>
      <c r="J25">
        <f t="shared" si="2"/>
        <v>49</v>
      </c>
      <c r="K25" t="s">
        <v>406</v>
      </c>
      <c r="L25" t="s">
        <v>406</v>
      </c>
      <c r="M25" t="s">
        <v>406</v>
      </c>
      <c r="R25" t="s">
        <v>279</v>
      </c>
      <c r="S25" t="s">
        <v>220</v>
      </c>
      <c r="T25" t="s">
        <v>215</v>
      </c>
      <c r="U25" t="s">
        <v>281</v>
      </c>
      <c r="V25" s="1">
        <f>[1]Meunier_etal_2018_Fig4b!$E$25</f>
        <v>1.1234916302036759E-13</v>
      </c>
      <c r="W25" s="1"/>
      <c r="AA25" s="2">
        <v>0.6</v>
      </c>
      <c r="AD25" t="s">
        <v>213</v>
      </c>
    </row>
    <row r="26" spans="1:30" x14ac:dyDescent="0.35">
      <c r="A26" t="s">
        <v>412</v>
      </c>
      <c r="B26" t="s">
        <v>209</v>
      </c>
      <c r="C26" t="s">
        <v>210</v>
      </c>
      <c r="D26" t="s">
        <v>81</v>
      </c>
      <c r="E26" t="s">
        <v>191</v>
      </c>
      <c r="F26" t="s">
        <v>192</v>
      </c>
      <c r="G26" t="s">
        <v>192</v>
      </c>
      <c r="H26" t="s">
        <v>192</v>
      </c>
      <c r="I26" t="s">
        <v>378</v>
      </c>
      <c r="J26">
        <f t="shared" si="2"/>
        <v>49</v>
      </c>
      <c r="K26" t="s">
        <v>406</v>
      </c>
      <c r="L26" t="s">
        <v>406</v>
      </c>
      <c r="M26" t="s">
        <v>406</v>
      </c>
      <c r="R26" t="s">
        <v>279</v>
      </c>
      <c r="S26" t="s">
        <v>220</v>
      </c>
      <c r="T26" t="s">
        <v>214</v>
      </c>
      <c r="U26" t="s">
        <v>281</v>
      </c>
      <c r="V26" s="1">
        <f>[1]Meunier_etal_2018_Fig4b!$E$26</f>
        <v>3.7843493815053586E-13</v>
      </c>
      <c r="W26" s="1"/>
      <c r="AA26" s="2">
        <v>0.6</v>
      </c>
      <c r="AD26" t="s">
        <v>213</v>
      </c>
    </row>
    <row r="27" spans="1:30" x14ac:dyDescent="0.35">
      <c r="A27" t="s">
        <v>412</v>
      </c>
      <c r="B27" t="s">
        <v>209</v>
      </c>
      <c r="C27" t="s">
        <v>210</v>
      </c>
      <c r="D27" t="s">
        <v>81</v>
      </c>
      <c r="E27" t="s">
        <v>191</v>
      </c>
      <c r="F27" t="s">
        <v>192</v>
      </c>
      <c r="G27" t="s">
        <v>192</v>
      </c>
      <c r="H27" t="s">
        <v>192</v>
      </c>
      <c r="I27" t="s">
        <v>378</v>
      </c>
      <c r="J27">
        <f t="shared" si="2"/>
        <v>49</v>
      </c>
      <c r="K27" t="s">
        <v>406</v>
      </c>
      <c r="L27" t="s">
        <v>406</v>
      </c>
      <c r="M27" t="s">
        <v>406</v>
      </c>
      <c r="R27" t="s">
        <v>279</v>
      </c>
      <c r="S27" t="s">
        <v>220</v>
      </c>
      <c r="T27" t="s">
        <v>216</v>
      </c>
      <c r="U27" t="s">
        <v>281</v>
      </c>
      <c r="V27" s="1">
        <f>[1]Meunier_etal_2018_Fig4b!$E$28</f>
        <v>6.3894783579090913E-13</v>
      </c>
      <c r="W27" s="1"/>
      <c r="AA27" s="2">
        <v>0.6</v>
      </c>
      <c r="AD27" t="s">
        <v>213</v>
      </c>
    </row>
    <row r="28" spans="1:30" x14ac:dyDescent="0.35">
      <c r="A28" t="s">
        <v>412</v>
      </c>
      <c r="B28" t="s">
        <v>414</v>
      </c>
      <c r="C28" t="s">
        <v>100</v>
      </c>
      <c r="D28" t="s">
        <v>29</v>
      </c>
      <c r="E28" t="s">
        <v>19</v>
      </c>
      <c r="F28" t="s">
        <v>362</v>
      </c>
      <c r="G28" t="s">
        <v>362</v>
      </c>
      <c r="H28" t="s">
        <v>408</v>
      </c>
      <c r="I28" t="s">
        <v>411</v>
      </c>
      <c r="J28">
        <f t="shared" si="2"/>
        <v>49</v>
      </c>
      <c r="K28" t="s">
        <v>406</v>
      </c>
      <c r="L28" t="s">
        <v>406</v>
      </c>
      <c r="M28" t="s">
        <v>406</v>
      </c>
      <c r="R28" t="s">
        <v>279</v>
      </c>
      <c r="S28" t="s">
        <v>220</v>
      </c>
      <c r="T28" t="s">
        <v>215</v>
      </c>
      <c r="U28" t="s">
        <v>281</v>
      </c>
      <c r="V28" s="1">
        <f>[2]Meunier_etal_2018_Fig5b!D3</f>
        <v>1.3411029858552054E-13</v>
      </c>
      <c r="W28" s="1"/>
      <c r="AA28" s="2">
        <v>0.84</v>
      </c>
      <c r="AD28" t="s">
        <v>213</v>
      </c>
    </row>
    <row r="29" spans="1:30" x14ac:dyDescent="0.35">
      <c r="A29" t="s">
        <v>412</v>
      </c>
      <c r="B29" t="s">
        <v>414</v>
      </c>
      <c r="C29" t="s">
        <v>100</v>
      </c>
      <c r="D29" t="s">
        <v>29</v>
      </c>
      <c r="E29" t="s">
        <v>19</v>
      </c>
      <c r="F29" t="s">
        <v>362</v>
      </c>
      <c r="G29" t="s">
        <v>362</v>
      </c>
      <c r="H29" t="s">
        <v>408</v>
      </c>
      <c r="I29" t="s">
        <v>411</v>
      </c>
      <c r="J29">
        <f t="shared" si="2"/>
        <v>49</v>
      </c>
      <c r="K29" t="s">
        <v>406</v>
      </c>
      <c r="L29" t="s">
        <v>406</v>
      </c>
      <c r="M29" t="s">
        <v>406</v>
      </c>
      <c r="R29" t="s">
        <v>279</v>
      </c>
      <c r="S29" t="s">
        <v>220</v>
      </c>
      <c r="T29" t="s">
        <v>214</v>
      </c>
      <c r="U29" t="s">
        <v>281</v>
      </c>
      <c r="V29" s="1">
        <f>[2]Meunier_etal_2018_Fig5b!D4</f>
        <v>4.0976948488549422E-13</v>
      </c>
      <c r="W29" s="1"/>
      <c r="AA29" s="2">
        <v>0.84</v>
      </c>
      <c r="AD29" t="s">
        <v>213</v>
      </c>
    </row>
    <row r="30" spans="1:30" x14ac:dyDescent="0.35">
      <c r="A30" t="s">
        <v>412</v>
      </c>
      <c r="B30" t="s">
        <v>414</v>
      </c>
      <c r="C30" t="s">
        <v>100</v>
      </c>
      <c r="D30" t="s">
        <v>29</v>
      </c>
      <c r="E30" t="s">
        <v>19</v>
      </c>
      <c r="F30" t="s">
        <v>362</v>
      </c>
      <c r="G30" t="s">
        <v>362</v>
      </c>
      <c r="H30" t="s">
        <v>408</v>
      </c>
      <c r="I30" t="s">
        <v>411</v>
      </c>
      <c r="J30">
        <f t="shared" si="2"/>
        <v>49</v>
      </c>
      <c r="K30" t="s">
        <v>406</v>
      </c>
      <c r="L30" t="s">
        <v>406</v>
      </c>
      <c r="M30" t="s">
        <v>406</v>
      </c>
      <c r="R30" t="s">
        <v>279</v>
      </c>
      <c r="S30" t="s">
        <v>220</v>
      </c>
      <c r="T30" t="s">
        <v>216</v>
      </c>
      <c r="U30" t="s">
        <v>281</v>
      </c>
      <c r="V30" s="1">
        <f>[2]Meunier_etal_2018_Fig5b!$D$6</f>
        <v>5.2405268340473553E-13</v>
      </c>
      <c r="W30" s="1"/>
      <c r="AA30" s="2">
        <v>0.84</v>
      </c>
      <c r="AD30" t="s">
        <v>213</v>
      </c>
    </row>
    <row r="31" spans="1:30" x14ac:dyDescent="0.35">
      <c r="A31" t="s">
        <v>208</v>
      </c>
      <c r="B31" t="s">
        <v>209</v>
      </c>
      <c r="C31" t="s">
        <v>210</v>
      </c>
      <c r="D31" t="s">
        <v>81</v>
      </c>
      <c r="E31" t="s">
        <v>191</v>
      </c>
      <c r="F31" t="s">
        <v>192</v>
      </c>
      <c r="G31" t="s">
        <v>192</v>
      </c>
      <c r="H31" t="s">
        <v>192</v>
      </c>
      <c r="I31" t="s">
        <v>378</v>
      </c>
      <c r="J31">
        <v>35</v>
      </c>
      <c r="K31" t="s">
        <v>406</v>
      </c>
      <c r="L31" t="s">
        <v>406</v>
      </c>
      <c r="M31" t="s">
        <v>406</v>
      </c>
      <c r="R31" t="s">
        <v>279</v>
      </c>
      <c r="S31" t="s">
        <v>251</v>
      </c>
      <c r="T31" t="s">
        <v>215</v>
      </c>
      <c r="U31" t="s">
        <v>281</v>
      </c>
      <c r="V31" s="1">
        <f>[3]Ahmed_etal_2018_Fig6!$C$8</f>
        <v>5.968992248062006E-13</v>
      </c>
      <c r="X31" t="s">
        <v>234</v>
      </c>
      <c r="AD31" t="s">
        <v>213</v>
      </c>
    </row>
    <row r="32" spans="1:30" x14ac:dyDescent="0.35">
      <c r="A32" t="s">
        <v>208</v>
      </c>
      <c r="B32" t="s">
        <v>209</v>
      </c>
      <c r="C32" t="s">
        <v>210</v>
      </c>
      <c r="D32" t="s">
        <v>81</v>
      </c>
      <c r="E32" t="s">
        <v>191</v>
      </c>
      <c r="F32" t="s">
        <v>192</v>
      </c>
      <c r="G32" t="s">
        <v>192</v>
      </c>
      <c r="H32" t="s">
        <v>192</v>
      </c>
      <c r="I32" t="s">
        <v>378</v>
      </c>
      <c r="J32">
        <v>35</v>
      </c>
      <c r="K32" t="s">
        <v>406</v>
      </c>
      <c r="L32" t="s">
        <v>406</v>
      </c>
      <c r="M32" t="s">
        <v>406</v>
      </c>
      <c r="R32" t="s">
        <v>279</v>
      </c>
      <c r="S32" t="s">
        <v>251</v>
      </c>
      <c r="T32" t="s">
        <v>214</v>
      </c>
      <c r="U32" t="s">
        <v>281</v>
      </c>
      <c r="V32" s="1">
        <f>[3]Ahmed_etal_2018_Fig6!$C$12</f>
        <v>1.8488372093023225E-12</v>
      </c>
      <c r="X32" t="s">
        <v>234</v>
      </c>
      <c r="AD32" t="s">
        <v>213</v>
      </c>
    </row>
    <row r="33" spans="1:30" x14ac:dyDescent="0.35">
      <c r="A33" t="s">
        <v>208</v>
      </c>
      <c r="B33" t="s">
        <v>209</v>
      </c>
      <c r="C33" t="s">
        <v>210</v>
      </c>
      <c r="D33" t="s">
        <v>81</v>
      </c>
      <c r="E33" t="s">
        <v>191</v>
      </c>
      <c r="F33" t="s">
        <v>192</v>
      </c>
      <c r="G33" t="s">
        <v>192</v>
      </c>
      <c r="H33" t="s">
        <v>192</v>
      </c>
      <c r="I33" t="s">
        <v>378</v>
      </c>
      <c r="J33">
        <v>35</v>
      </c>
      <c r="K33" t="s">
        <v>406</v>
      </c>
      <c r="L33" t="s">
        <v>406</v>
      </c>
      <c r="M33" t="s">
        <v>406</v>
      </c>
      <c r="R33" t="s">
        <v>279</v>
      </c>
      <c r="S33" t="s">
        <v>251</v>
      </c>
      <c r="T33" t="s">
        <v>216</v>
      </c>
      <c r="U33" t="s">
        <v>281</v>
      </c>
      <c r="V33" s="1">
        <f>[3]Ahmed_etal_2018_Fig6!$C$15</f>
        <v>2.1860465116279036E-12</v>
      </c>
      <c r="X33" t="s">
        <v>234</v>
      </c>
      <c r="AD33" t="s">
        <v>213</v>
      </c>
    </row>
    <row r="34" spans="1:30" x14ac:dyDescent="0.35">
      <c r="A34" t="s">
        <v>208</v>
      </c>
      <c r="B34" t="s">
        <v>209</v>
      </c>
      <c r="C34" t="s">
        <v>210</v>
      </c>
      <c r="D34" t="s">
        <v>81</v>
      </c>
      <c r="E34" t="s">
        <v>191</v>
      </c>
      <c r="F34" t="s">
        <v>192</v>
      </c>
      <c r="G34" t="s">
        <v>192</v>
      </c>
      <c r="H34" t="s">
        <v>192</v>
      </c>
      <c r="I34" t="s">
        <v>378</v>
      </c>
      <c r="J34">
        <v>35</v>
      </c>
      <c r="K34" t="s">
        <v>406</v>
      </c>
      <c r="L34" t="s">
        <v>406</v>
      </c>
      <c r="M34" t="s">
        <v>406</v>
      </c>
      <c r="R34" t="s">
        <v>279</v>
      </c>
      <c r="S34" t="s">
        <v>256</v>
      </c>
      <c r="T34" t="s">
        <v>215</v>
      </c>
      <c r="U34" t="s">
        <v>281</v>
      </c>
      <c r="V34" s="1">
        <f>[3]Ahmed_etal_2018_Fig6!$C$21</f>
        <v>3.7209302325581522E-13</v>
      </c>
      <c r="X34" t="s">
        <v>234</v>
      </c>
      <c r="AD34" t="s">
        <v>213</v>
      </c>
    </row>
    <row r="35" spans="1:30" x14ac:dyDescent="0.35">
      <c r="A35" t="s">
        <v>208</v>
      </c>
      <c r="B35" t="s">
        <v>209</v>
      </c>
      <c r="C35" t="s">
        <v>210</v>
      </c>
      <c r="D35" t="s">
        <v>81</v>
      </c>
      <c r="E35" t="s">
        <v>191</v>
      </c>
      <c r="F35" t="s">
        <v>192</v>
      </c>
      <c r="G35" t="s">
        <v>192</v>
      </c>
      <c r="H35" t="s">
        <v>192</v>
      </c>
      <c r="I35" t="s">
        <v>378</v>
      </c>
      <c r="J35">
        <v>35</v>
      </c>
      <c r="K35" t="s">
        <v>406</v>
      </c>
      <c r="L35" t="s">
        <v>406</v>
      </c>
      <c r="M35" t="s">
        <v>406</v>
      </c>
      <c r="R35" t="s">
        <v>279</v>
      </c>
      <c r="S35" t="s">
        <v>256</v>
      </c>
      <c r="T35" t="s">
        <v>214</v>
      </c>
      <c r="U35" t="s">
        <v>281</v>
      </c>
      <c r="V35" s="1">
        <f>[3]Ahmed_etal_2018_Fig6!$C$26</f>
        <v>3.1906976744186011E-12</v>
      </c>
      <c r="X35" t="s">
        <v>234</v>
      </c>
      <c r="AD35" t="s">
        <v>213</v>
      </c>
    </row>
    <row r="36" spans="1:30" x14ac:dyDescent="0.35">
      <c r="A36" t="s">
        <v>208</v>
      </c>
      <c r="B36" t="s">
        <v>209</v>
      </c>
      <c r="C36" t="s">
        <v>210</v>
      </c>
      <c r="D36" t="s">
        <v>81</v>
      </c>
      <c r="E36" t="s">
        <v>191</v>
      </c>
      <c r="F36" t="s">
        <v>192</v>
      </c>
      <c r="G36" t="s">
        <v>192</v>
      </c>
      <c r="H36" t="s">
        <v>192</v>
      </c>
      <c r="I36" t="s">
        <v>378</v>
      </c>
      <c r="J36">
        <v>35</v>
      </c>
      <c r="K36" t="s">
        <v>406</v>
      </c>
      <c r="L36" t="s">
        <v>406</v>
      </c>
      <c r="M36" t="s">
        <v>406</v>
      </c>
      <c r="R36" t="s">
        <v>279</v>
      </c>
      <c r="S36" t="s">
        <v>256</v>
      </c>
      <c r="T36" t="s">
        <v>216</v>
      </c>
      <c r="U36" t="s">
        <v>281</v>
      </c>
      <c r="V36" s="1">
        <f>[3]Ahmed_etal_2018_Fig6!$C$29</f>
        <v>1.0224806201550368E-11</v>
      </c>
      <c r="X36" t="s">
        <v>234</v>
      </c>
      <c r="AD36" t="s">
        <v>213</v>
      </c>
    </row>
    <row r="37" spans="1:30" x14ac:dyDescent="0.35">
      <c r="A37" t="s">
        <v>250</v>
      </c>
      <c r="B37" t="s">
        <v>79</v>
      </c>
      <c r="C37" t="s">
        <v>80</v>
      </c>
      <c r="D37" t="s">
        <v>81</v>
      </c>
      <c r="E37" t="s">
        <v>19</v>
      </c>
      <c r="F37" t="s">
        <v>82</v>
      </c>
      <c r="G37" t="s">
        <v>82</v>
      </c>
      <c r="H37" t="s">
        <v>82</v>
      </c>
      <c r="I37" t="s">
        <v>378</v>
      </c>
      <c r="J37">
        <f>+AVERAGE(16,20)</f>
        <v>18</v>
      </c>
      <c r="K37" t="s">
        <v>406</v>
      </c>
      <c r="L37" t="s">
        <v>406</v>
      </c>
      <c r="M37" t="s">
        <v>406</v>
      </c>
      <c r="R37" t="s">
        <v>279</v>
      </c>
      <c r="S37" t="s">
        <v>251</v>
      </c>
      <c r="T37" t="s">
        <v>215</v>
      </c>
      <c r="U37" t="s">
        <v>281</v>
      </c>
      <c r="V37" s="1">
        <f>[4]Ranathunge_etal_2017_Fig5!$E$10</f>
        <v>8.2956885672194048E-13</v>
      </c>
      <c r="X37" t="s">
        <v>234</v>
      </c>
      <c r="AD37" t="s">
        <v>213</v>
      </c>
    </row>
    <row r="38" spans="1:30" x14ac:dyDescent="0.35">
      <c r="A38" t="s">
        <v>250</v>
      </c>
      <c r="B38" t="s">
        <v>79</v>
      </c>
      <c r="C38" t="s">
        <v>80</v>
      </c>
      <c r="D38" t="s">
        <v>81</v>
      </c>
      <c r="E38" t="s">
        <v>19</v>
      </c>
      <c r="F38" t="s">
        <v>82</v>
      </c>
      <c r="G38" t="s">
        <v>82</v>
      </c>
      <c r="H38" t="s">
        <v>82</v>
      </c>
      <c r="I38" t="s">
        <v>378</v>
      </c>
      <c r="J38">
        <f t="shared" ref="J38:J39" si="3">+AVERAGE(16,20)</f>
        <v>18</v>
      </c>
      <c r="K38" t="s">
        <v>406</v>
      </c>
      <c r="L38" t="s">
        <v>406</v>
      </c>
      <c r="M38" t="s">
        <v>406</v>
      </c>
      <c r="R38" t="s">
        <v>279</v>
      </c>
      <c r="S38" t="s">
        <v>251</v>
      </c>
      <c r="T38" t="s">
        <v>214</v>
      </c>
      <c r="U38" t="s">
        <v>281</v>
      </c>
      <c r="V38" s="1">
        <f>[4]Ranathunge_etal_2017_Fig5!$E$13</f>
        <v>4.6103112865565067E-12</v>
      </c>
      <c r="X38" t="s">
        <v>234</v>
      </c>
      <c r="AD38" t="s">
        <v>213</v>
      </c>
    </row>
    <row r="39" spans="1:30" x14ac:dyDescent="0.35">
      <c r="A39" t="s">
        <v>250</v>
      </c>
      <c r="B39" t="s">
        <v>79</v>
      </c>
      <c r="C39" t="s">
        <v>80</v>
      </c>
      <c r="D39" t="s">
        <v>81</v>
      </c>
      <c r="E39" t="s">
        <v>19</v>
      </c>
      <c r="F39" t="s">
        <v>82</v>
      </c>
      <c r="G39" t="s">
        <v>82</v>
      </c>
      <c r="H39" t="s">
        <v>82</v>
      </c>
      <c r="I39" t="s">
        <v>378</v>
      </c>
      <c r="J39">
        <f t="shared" si="3"/>
        <v>18</v>
      </c>
      <c r="K39" t="s">
        <v>406</v>
      </c>
      <c r="L39" t="s">
        <v>406</v>
      </c>
      <c r="M39" t="s">
        <v>406</v>
      </c>
      <c r="R39" t="s">
        <v>279</v>
      </c>
      <c r="S39" t="s">
        <v>251</v>
      </c>
      <c r="T39" t="s">
        <v>216</v>
      </c>
      <c r="U39" t="s">
        <v>281</v>
      </c>
      <c r="V39" s="1">
        <f>[4]Ranathunge_etal_2017_Fig5!$E$17</f>
        <v>2.0797019647018232E-10</v>
      </c>
      <c r="X39" t="s">
        <v>234</v>
      </c>
      <c r="AD39" t="s">
        <v>213</v>
      </c>
    </row>
    <row r="40" spans="1:30" x14ac:dyDescent="0.35">
      <c r="A40" t="s">
        <v>261</v>
      </c>
      <c r="B40" t="s">
        <v>262</v>
      </c>
      <c r="C40" t="s">
        <v>90</v>
      </c>
      <c r="D40" t="s">
        <v>93</v>
      </c>
      <c r="E40" t="s">
        <v>19</v>
      </c>
      <c r="F40" t="s">
        <v>20</v>
      </c>
      <c r="G40" t="s">
        <v>360</v>
      </c>
      <c r="H40" t="s">
        <v>402</v>
      </c>
      <c r="I40" t="s">
        <v>376</v>
      </c>
      <c r="J40">
        <f>2*365</f>
        <v>730</v>
      </c>
      <c r="K40" t="s">
        <v>406</v>
      </c>
      <c r="L40" t="s">
        <v>406</v>
      </c>
      <c r="M40" t="s">
        <v>406</v>
      </c>
      <c r="R40" t="s">
        <v>279</v>
      </c>
      <c r="S40" t="s">
        <v>128</v>
      </c>
      <c r="T40" t="s">
        <v>258</v>
      </c>
      <c r="U40" t="s">
        <v>281</v>
      </c>
      <c r="W40" s="1">
        <v>7.3000000000000001E-3</v>
      </c>
      <c r="X40" t="s">
        <v>237</v>
      </c>
      <c r="AD40" t="s">
        <v>236</v>
      </c>
    </row>
    <row r="41" spans="1:30" x14ac:dyDescent="0.35">
      <c r="A41" t="s">
        <v>261</v>
      </c>
      <c r="B41" t="s">
        <v>263</v>
      </c>
      <c r="C41" t="s">
        <v>90</v>
      </c>
      <c r="D41" t="s">
        <v>93</v>
      </c>
      <c r="E41" t="s">
        <v>19</v>
      </c>
      <c r="F41" t="s">
        <v>20</v>
      </c>
      <c r="G41" t="s">
        <v>360</v>
      </c>
      <c r="H41" t="s">
        <v>402</v>
      </c>
      <c r="I41" t="s">
        <v>376</v>
      </c>
      <c r="J41">
        <f>2*365</f>
        <v>730</v>
      </c>
      <c r="K41" t="s">
        <v>406</v>
      </c>
      <c r="L41" t="s">
        <v>406</v>
      </c>
      <c r="M41" t="s">
        <v>406</v>
      </c>
      <c r="R41" t="s">
        <v>279</v>
      </c>
      <c r="S41" t="s">
        <v>128</v>
      </c>
      <c r="T41" t="s">
        <v>258</v>
      </c>
      <c r="U41" t="s">
        <v>281</v>
      </c>
      <c r="W41" s="1">
        <v>9.7999999999999997E-3</v>
      </c>
      <c r="X41" t="s">
        <v>237</v>
      </c>
      <c r="AD41" t="s">
        <v>236</v>
      </c>
    </row>
    <row r="42" spans="1:30" x14ac:dyDescent="0.35">
      <c r="A42" t="s">
        <v>35</v>
      </c>
      <c r="B42" t="s">
        <v>30</v>
      </c>
      <c r="C42" t="s">
        <v>37</v>
      </c>
      <c r="D42" t="s">
        <v>36</v>
      </c>
      <c r="E42" t="s">
        <v>19</v>
      </c>
      <c r="F42" t="s">
        <v>43</v>
      </c>
      <c r="G42" t="s">
        <v>404</v>
      </c>
      <c r="H42" t="s">
        <v>404</v>
      </c>
      <c r="I42" t="s">
        <v>376</v>
      </c>
      <c r="K42" t="s">
        <v>406</v>
      </c>
      <c r="L42" t="s">
        <v>406</v>
      </c>
      <c r="M42" t="s">
        <v>406</v>
      </c>
      <c r="R42" t="s">
        <v>279</v>
      </c>
      <c r="S42" t="s">
        <v>268</v>
      </c>
      <c r="T42" t="s">
        <v>258</v>
      </c>
      <c r="U42" t="s">
        <v>281</v>
      </c>
      <c r="W42" s="1">
        <v>2.64E-3</v>
      </c>
      <c r="X42" t="s">
        <v>237</v>
      </c>
      <c r="AA42">
        <v>7.87</v>
      </c>
      <c r="AB42">
        <v>63.63</v>
      </c>
      <c r="AC42">
        <v>25.19</v>
      </c>
      <c r="AD42" t="s">
        <v>223</v>
      </c>
    </row>
    <row r="43" spans="1:30" x14ac:dyDescent="0.35">
      <c r="A43" t="s">
        <v>35</v>
      </c>
      <c r="B43" t="s">
        <v>44</v>
      </c>
      <c r="C43" t="s">
        <v>38</v>
      </c>
      <c r="D43" t="s">
        <v>36</v>
      </c>
      <c r="E43" t="s">
        <v>19</v>
      </c>
      <c r="F43" t="s">
        <v>43</v>
      </c>
      <c r="G43" t="s">
        <v>404</v>
      </c>
      <c r="H43" t="s">
        <v>404</v>
      </c>
      <c r="I43" t="s">
        <v>376</v>
      </c>
      <c r="K43" t="s">
        <v>406</v>
      </c>
      <c r="L43" t="s">
        <v>406</v>
      </c>
      <c r="M43" t="s">
        <v>406</v>
      </c>
      <c r="R43" t="s">
        <v>279</v>
      </c>
      <c r="S43" t="s">
        <v>268</v>
      </c>
      <c r="T43" t="s">
        <v>258</v>
      </c>
      <c r="U43" t="s">
        <v>281</v>
      </c>
      <c r="W43" s="1">
        <v>5.9900000000000005E-3</v>
      </c>
      <c r="X43" t="s">
        <v>237</v>
      </c>
      <c r="AA43">
        <v>7.87</v>
      </c>
      <c r="AB43">
        <v>79.13</v>
      </c>
      <c r="AC43">
        <v>18.010000000000002</v>
      </c>
      <c r="AD43" t="s">
        <v>223</v>
      </c>
    </row>
    <row r="44" spans="1:30" x14ac:dyDescent="0.35">
      <c r="A44" t="s">
        <v>35</v>
      </c>
      <c r="B44" t="s">
        <v>31</v>
      </c>
      <c r="C44" t="s">
        <v>39</v>
      </c>
      <c r="D44" t="s">
        <v>45</v>
      </c>
      <c r="E44" t="s">
        <v>19</v>
      </c>
      <c r="F44" t="s">
        <v>43</v>
      </c>
      <c r="G44" t="s">
        <v>404</v>
      </c>
      <c r="H44" t="s">
        <v>404</v>
      </c>
      <c r="I44" t="s">
        <v>376</v>
      </c>
      <c r="K44" t="s">
        <v>406</v>
      </c>
      <c r="L44" t="s">
        <v>406</v>
      </c>
      <c r="M44" t="s">
        <v>406</v>
      </c>
      <c r="R44" t="s">
        <v>279</v>
      </c>
      <c r="S44" t="s">
        <v>268</v>
      </c>
      <c r="T44" t="s">
        <v>258</v>
      </c>
      <c r="U44" t="s">
        <v>281</v>
      </c>
      <c r="W44" s="1">
        <v>3.9140000000000001E-2</v>
      </c>
      <c r="X44" t="s">
        <v>237</v>
      </c>
      <c r="AA44">
        <v>7.87</v>
      </c>
      <c r="AB44">
        <v>89.4</v>
      </c>
      <c r="AC44">
        <v>13.41</v>
      </c>
      <c r="AD44" t="s">
        <v>223</v>
      </c>
    </row>
    <row r="45" spans="1:30" x14ac:dyDescent="0.35">
      <c r="A45" t="s">
        <v>35</v>
      </c>
      <c r="B45" t="s">
        <v>32</v>
      </c>
      <c r="C45" t="s">
        <v>40</v>
      </c>
      <c r="D45" t="s">
        <v>29</v>
      </c>
      <c r="E45" t="s">
        <v>19</v>
      </c>
      <c r="F45" t="s">
        <v>43</v>
      </c>
      <c r="G45" t="s">
        <v>404</v>
      </c>
      <c r="H45" t="s">
        <v>404</v>
      </c>
      <c r="I45" t="s">
        <v>376</v>
      </c>
      <c r="K45" t="s">
        <v>406</v>
      </c>
      <c r="L45" t="s">
        <v>406</v>
      </c>
      <c r="M45" t="s">
        <v>406</v>
      </c>
      <c r="R45" t="s">
        <v>279</v>
      </c>
      <c r="S45" t="s">
        <v>268</v>
      </c>
      <c r="T45" t="s">
        <v>258</v>
      </c>
      <c r="U45" t="s">
        <v>281</v>
      </c>
      <c r="W45" s="1">
        <v>6.4099999999999999E-3</v>
      </c>
      <c r="X45" t="s">
        <v>237</v>
      </c>
      <c r="AA45">
        <v>7.87</v>
      </c>
      <c r="AB45">
        <v>81.05</v>
      </c>
      <c r="AC45">
        <v>16.7</v>
      </c>
      <c r="AD45" t="s">
        <v>223</v>
      </c>
    </row>
    <row r="46" spans="1:30" x14ac:dyDescent="0.35">
      <c r="A46" t="s">
        <v>35</v>
      </c>
      <c r="B46" t="s">
        <v>33</v>
      </c>
      <c r="C46" t="s">
        <v>41</v>
      </c>
      <c r="D46" t="s">
        <v>29</v>
      </c>
      <c r="E46" t="s">
        <v>19</v>
      </c>
      <c r="F46" t="s">
        <v>43</v>
      </c>
      <c r="G46" t="s">
        <v>404</v>
      </c>
      <c r="H46" t="s">
        <v>404</v>
      </c>
      <c r="I46" t="s">
        <v>376</v>
      </c>
      <c r="K46" t="s">
        <v>406</v>
      </c>
      <c r="L46" t="s">
        <v>406</v>
      </c>
      <c r="M46" t="s">
        <v>406</v>
      </c>
      <c r="R46" t="s">
        <v>279</v>
      </c>
      <c r="S46" t="s">
        <v>268</v>
      </c>
      <c r="T46" t="s">
        <v>258</v>
      </c>
      <c r="U46" t="s">
        <v>281</v>
      </c>
      <c r="W46" s="1">
        <v>6.1719999999999997E-2</v>
      </c>
      <c r="X46" t="s">
        <v>237</v>
      </c>
      <c r="AA46">
        <v>7.87</v>
      </c>
      <c r="AB46">
        <v>112.25</v>
      </c>
      <c r="AC46">
        <v>16.399999999999999</v>
      </c>
      <c r="AD46" t="s">
        <v>223</v>
      </c>
    </row>
    <row r="47" spans="1:30" x14ac:dyDescent="0.35">
      <c r="A47" t="s">
        <v>35</v>
      </c>
      <c r="B47" t="s">
        <v>34</v>
      </c>
      <c r="C47" t="s">
        <v>42</v>
      </c>
      <c r="D47" t="s">
        <v>29</v>
      </c>
      <c r="E47" t="s">
        <v>19</v>
      </c>
      <c r="F47" t="s">
        <v>43</v>
      </c>
      <c r="G47" t="s">
        <v>404</v>
      </c>
      <c r="H47" t="s">
        <v>404</v>
      </c>
      <c r="I47" t="s">
        <v>376</v>
      </c>
      <c r="K47" t="s">
        <v>406</v>
      </c>
      <c r="L47" t="s">
        <v>406</v>
      </c>
      <c r="M47" t="s">
        <v>406</v>
      </c>
      <c r="R47" t="s">
        <v>279</v>
      </c>
      <c r="S47" t="s">
        <v>268</v>
      </c>
      <c r="T47" t="s">
        <v>258</v>
      </c>
      <c r="U47" t="s">
        <v>281</v>
      </c>
      <c r="W47" s="1">
        <v>0.26502999999999999</v>
      </c>
      <c r="X47" t="s">
        <v>237</v>
      </c>
      <c r="AA47">
        <v>7.87</v>
      </c>
      <c r="AB47">
        <v>133.33000000000001</v>
      </c>
      <c r="AC47">
        <v>16.53</v>
      </c>
      <c r="AD47" t="s">
        <v>223</v>
      </c>
    </row>
    <row r="48" spans="1:30" x14ac:dyDescent="0.35">
      <c r="A48" t="s">
        <v>53</v>
      </c>
      <c r="B48" t="s">
        <v>46</v>
      </c>
      <c r="C48" t="s">
        <v>54</v>
      </c>
      <c r="D48" t="s">
        <v>50</v>
      </c>
      <c r="E48" t="s">
        <v>19</v>
      </c>
      <c r="F48" t="s">
        <v>43</v>
      </c>
      <c r="G48" t="s">
        <v>404</v>
      </c>
      <c r="H48" t="s">
        <v>404</v>
      </c>
      <c r="I48" t="s">
        <v>376</v>
      </c>
      <c r="K48" t="s">
        <v>406</v>
      </c>
      <c r="L48" t="s">
        <v>406</v>
      </c>
      <c r="M48" t="s">
        <v>406</v>
      </c>
      <c r="R48" t="s">
        <v>279</v>
      </c>
      <c r="S48" t="s">
        <v>238</v>
      </c>
      <c r="T48" t="s">
        <v>258</v>
      </c>
      <c r="U48" t="s">
        <v>281</v>
      </c>
      <c r="W48" s="1">
        <f>[5]Schuldt_eatl_2013_Fig4a!$C$7</f>
        <v>1.928571428571426E-2</v>
      </c>
      <c r="X48" t="s">
        <v>237</v>
      </c>
      <c r="AA48">
        <v>4.3</v>
      </c>
      <c r="AB48">
        <v>56.6</v>
      </c>
      <c r="AC48">
        <v>82.5</v>
      </c>
      <c r="AD48" t="s">
        <v>223</v>
      </c>
    </row>
    <row r="49" spans="1:30" x14ac:dyDescent="0.35">
      <c r="A49" t="s">
        <v>53</v>
      </c>
      <c r="B49" t="s">
        <v>47</v>
      </c>
      <c r="C49" t="s">
        <v>55</v>
      </c>
      <c r="D49" t="s">
        <v>18</v>
      </c>
      <c r="E49" t="s">
        <v>19</v>
      </c>
      <c r="F49" t="s">
        <v>43</v>
      </c>
      <c r="G49" t="s">
        <v>404</v>
      </c>
      <c r="H49" t="s">
        <v>404</v>
      </c>
      <c r="I49" t="s">
        <v>376</v>
      </c>
      <c r="K49" t="s">
        <v>406</v>
      </c>
      <c r="L49" t="s">
        <v>406</v>
      </c>
      <c r="M49" t="s">
        <v>406</v>
      </c>
      <c r="R49" t="s">
        <v>279</v>
      </c>
      <c r="S49" t="s">
        <v>238</v>
      </c>
      <c r="T49" t="s">
        <v>258</v>
      </c>
      <c r="U49" t="s">
        <v>281</v>
      </c>
      <c r="W49" s="1">
        <f>[5]Schuldt_eatl_2013_Fig4a!$C$12</f>
        <v>4.3714285714285699E-2</v>
      </c>
      <c r="X49" t="s">
        <v>237</v>
      </c>
      <c r="AA49">
        <v>4.3</v>
      </c>
      <c r="AB49">
        <v>73.099999999999994</v>
      </c>
      <c r="AC49">
        <v>37.1</v>
      </c>
      <c r="AD49" t="s">
        <v>223</v>
      </c>
    </row>
    <row r="50" spans="1:30" x14ac:dyDescent="0.35">
      <c r="A50" t="s">
        <v>53</v>
      </c>
      <c r="B50" t="s">
        <v>48</v>
      </c>
      <c r="C50" t="s">
        <v>56</v>
      </c>
      <c r="D50" t="s">
        <v>51</v>
      </c>
      <c r="E50" t="s">
        <v>19</v>
      </c>
      <c r="F50" t="s">
        <v>43</v>
      </c>
      <c r="G50" t="s">
        <v>404</v>
      </c>
      <c r="H50" t="s">
        <v>404</v>
      </c>
      <c r="I50" t="s">
        <v>376</v>
      </c>
      <c r="K50" t="s">
        <v>406</v>
      </c>
      <c r="L50" t="s">
        <v>406</v>
      </c>
      <c r="M50" t="s">
        <v>406</v>
      </c>
      <c r="R50" t="s">
        <v>279</v>
      </c>
      <c r="S50" t="s">
        <v>238</v>
      </c>
      <c r="T50" t="s">
        <v>258</v>
      </c>
      <c r="U50" t="s">
        <v>281</v>
      </c>
      <c r="W50" s="1">
        <f>[5]Schuldt_eatl_2013_Fig4a!$C$15</f>
        <v>3.37566137566137E-2</v>
      </c>
      <c r="X50" t="s">
        <v>237</v>
      </c>
      <c r="AA50">
        <v>4.3</v>
      </c>
      <c r="AB50">
        <v>40.6</v>
      </c>
      <c r="AC50">
        <v>116.2</v>
      </c>
      <c r="AD50" t="s">
        <v>223</v>
      </c>
    </row>
    <row r="51" spans="1:30" x14ac:dyDescent="0.35">
      <c r="A51" t="s">
        <v>53</v>
      </c>
      <c r="B51" t="s">
        <v>49</v>
      </c>
      <c r="C51" t="s">
        <v>57</v>
      </c>
      <c r="D51" t="s">
        <v>52</v>
      </c>
      <c r="E51" t="s">
        <v>19</v>
      </c>
      <c r="F51" t="s">
        <v>43</v>
      </c>
      <c r="G51" t="s">
        <v>404</v>
      </c>
      <c r="H51" t="s">
        <v>404</v>
      </c>
      <c r="I51" t="s">
        <v>376</v>
      </c>
      <c r="K51" t="s">
        <v>406</v>
      </c>
      <c r="L51" t="s">
        <v>406</v>
      </c>
      <c r="M51" t="s">
        <v>406</v>
      </c>
      <c r="R51" t="s">
        <v>279</v>
      </c>
      <c r="S51" t="s">
        <v>238</v>
      </c>
      <c r="T51" t="s">
        <v>258</v>
      </c>
      <c r="U51" t="s">
        <v>281</v>
      </c>
      <c r="W51" s="1">
        <f>[5]Schuldt_eatl_2013_Fig4a!$C$20</f>
        <v>2.4412698412698379E-2</v>
      </c>
      <c r="X51" t="s">
        <v>237</v>
      </c>
      <c r="AA51">
        <v>4.3</v>
      </c>
      <c r="AB51">
        <v>59.7</v>
      </c>
      <c r="AC51">
        <v>66</v>
      </c>
      <c r="AD51" t="s">
        <v>223</v>
      </c>
    </row>
    <row r="52" spans="1:30" x14ac:dyDescent="0.35">
      <c r="A52" t="s">
        <v>53</v>
      </c>
      <c r="B52" t="s">
        <v>239</v>
      </c>
      <c r="C52" t="s">
        <v>240</v>
      </c>
      <c r="D52" t="s">
        <v>139</v>
      </c>
      <c r="E52" t="s">
        <v>19</v>
      </c>
      <c r="F52" t="s">
        <v>43</v>
      </c>
      <c r="G52" t="s">
        <v>404</v>
      </c>
      <c r="H52" t="s">
        <v>404</v>
      </c>
      <c r="I52" t="s">
        <v>376</v>
      </c>
      <c r="K52" t="s">
        <v>406</v>
      </c>
      <c r="L52" t="s">
        <v>406</v>
      </c>
      <c r="M52" t="s">
        <v>406</v>
      </c>
      <c r="R52" t="s">
        <v>279</v>
      </c>
      <c r="S52" t="s">
        <v>238</v>
      </c>
      <c r="T52" t="s">
        <v>258</v>
      </c>
      <c r="U52" t="s">
        <v>281</v>
      </c>
      <c r="W52" s="1">
        <f>[5]Schuldt_eatl_2013_Fig4a!$C$22</f>
        <v>9.5238095238094848E-3</v>
      </c>
      <c r="X52" t="s">
        <v>237</v>
      </c>
      <c r="AA52">
        <v>4.3</v>
      </c>
      <c r="AB52">
        <v>49.9</v>
      </c>
      <c r="AC52">
        <v>83.8</v>
      </c>
      <c r="AD52" t="s">
        <v>223</v>
      </c>
    </row>
    <row r="53" spans="1:30" x14ac:dyDescent="0.35">
      <c r="A53" t="s">
        <v>315</v>
      </c>
      <c r="B53" t="s">
        <v>316</v>
      </c>
      <c r="C53" t="s">
        <v>317</v>
      </c>
      <c r="D53" t="s">
        <v>304</v>
      </c>
      <c r="E53" t="s">
        <v>19</v>
      </c>
      <c r="F53" t="s">
        <v>43</v>
      </c>
      <c r="G53" t="s">
        <v>404</v>
      </c>
      <c r="H53" t="s">
        <v>404</v>
      </c>
      <c r="I53" t="s">
        <v>376</v>
      </c>
      <c r="K53" t="s">
        <v>406</v>
      </c>
      <c r="L53" t="s">
        <v>406</v>
      </c>
      <c r="M53" t="s">
        <v>406</v>
      </c>
      <c r="R53" t="s">
        <v>279</v>
      </c>
      <c r="S53" t="s">
        <v>268</v>
      </c>
      <c r="T53" t="s">
        <v>258</v>
      </c>
      <c r="U53" t="s">
        <v>281</v>
      </c>
      <c r="W53" s="1">
        <v>3.1199999999999999E-3</v>
      </c>
      <c r="X53" t="s">
        <v>234</v>
      </c>
      <c r="Y53" s="3"/>
      <c r="Z53" s="3"/>
      <c r="AA53">
        <v>7.95</v>
      </c>
      <c r="AD53" t="s">
        <v>358</v>
      </c>
    </row>
    <row r="54" spans="1:30" x14ac:dyDescent="0.35">
      <c r="A54" t="s">
        <v>284</v>
      </c>
      <c r="B54" t="s">
        <v>285</v>
      </c>
      <c r="C54" t="s">
        <v>292</v>
      </c>
      <c r="D54" t="s">
        <v>29</v>
      </c>
      <c r="E54" t="s">
        <v>19</v>
      </c>
      <c r="F54" s="4" t="s">
        <v>75</v>
      </c>
      <c r="G54" t="s">
        <v>74</v>
      </c>
      <c r="H54" t="s">
        <v>74</v>
      </c>
      <c r="I54" t="s">
        <v>74</v>
      </c>
      <c r="K54" t="s">
        <v>406</v>
      </c>
      <c r="L54" t="s">
        <v>406</v>
      </c>
      <c r="M54" t="s">
        <v>406</v>
      </c>
      <c r="R54" t="s">
        <v>279</v>
      </c>
      <c r="S54" t="s">
        <v>305</v>
      </c>
      <c r="T54" t="s">
        <v>258</v>
      </c>
      <c r="U54" t="s">
        <v>281</v>
      </c>
      <c r="W54" s="1">
        <f>[6]Tabelle1!B2</f>
        <v>2.1402999999999999E-3</v>
      </c>
      <c r="X54" t="s">
        <v>237</v>
      </c>
      <c r="AD54" t="s">
        <v>223</v>
      </c>
    </row>
    <row r="55" spans="1:30" x14ac:dyDescent="0.35">
      <c r="A55" t="s">
        <v>284</v>
      </c>
      <c r="B55" t="s">
        <v>286</v>
      </c>
      <c r="C55" t="s">
        <v>293</v>
      </c>
      <c r="D55" t="s">
        <v>299</v>
      </c>
      <c r="E55" t="s">
        <v>19</v>
      </c>
      <c r="F55" s="4" t="s">
        <v>75</v>
      </c>
      <c r="G55" t="s">
        <v>74</v>
      </c>
      <c r="H55" t="s">
        <v>74</v>
      </c>
      <c r="I55" t="s">
        <v>74</v>
      </c>
      <c r="K55" t="s">
        <v>406</v>
      </c>
      <c r="L55" t="s">
        <v>406</v>
      </c>
      <c r="M55" t="s">
        <v>406</v>
      </c>
      <c r="R55" t="s">
        <v>279</v>
      </c>
      <c r="S55" t="s">
        <v>305</v>
      </c>
      <c r="T55" t="s">
        <v>258</v>
      </c>
      <c r="U55" t="s">
        <v>281</v>
      </c>
      <c r="W55" s="1">
        <f>[6]Tabelle1!B3</f>
        <v>5.465E-4</v>
      </c>
      <c r="X55" t="s">
        <v>237</v>
      </c>
      <c r="AD55" t="s">
        <v>223</v>
      </c>
    </row>
    <row r="56" spans="1:30" x14ac:dyDescent="0.35">
      <c r="A56" t="s">
        <v>284</v>
      </c>
      <c r="B56" t="s">
        <v>287</v>
      </c>
      <c r="C56" t="s">
        <v>294</v>
      </c>
      <c r="D56" t="s">
        <v>300</v>
      </c>
      <c r="E56" t="s">
        <v>19</v>
      </c>
      <c r="F56" s="4" t="s">
        <v>75</v>
      </c>
      <c r="G56" t="s">
        <v>74</v>
      </c>
      <c r="H56" t="s">
        <v>74</v>
      </c>
      <c r="I56" t="s">
        <v>74</v>
      </c>
      <c r="K56" t="s">
        <v>406</v>
      </c>
      <c r="L56" t="s">
        <v>406</v>
      </c>
      <c r="M56" t="s">
        <v>406</v>
      </c>
      <c r="R56" t="s">
        <v>279</v>
      </c>
      <c r="S56" t="s">
        <v>305</v>
      </c>
      <c r="T56" t="s">
        <v>258</v>
      </c>
      <c r="U56" t="s">
        <v>281</v>
      </c>
      <c r="W56" s="1">
        <f>[6]Tabelle1!B4</f>
        <v>5.4316000000000008E-3</v>
      </c>
      <c r="X56" t="s">
        <v>237</v>
      </c>
      <c r="AD56" t="s">
        <v>223</v>
      </c>
    </row>
    <row r="57" spans="1:30" x14ac:dyDescent="0.35">
      <c r="A57" t="s">
        <v>284</v>
      </c>
      <c r="B57" t="s">
        <v>288</v>
      </c>
      <c r="C57" t="s">
        <v>295</v>
      </c>
      <c r="D57" t="s">
        <v>301</v>
      </c>
      <c r="E57" t="s">
        <v>19</v>
      </c>
      <c r="F57" s="4" t="s">
        <v>124</v>
      </c>
      <c r="G57" t="s">
        <v>74</v>
      </c>
      <c r="H57" t="s">
        <v>74</v>
      </c>
      <c r="I57" t="s">
        <v>74</v>
      </c>
      <c r="K57" t="s">
        <v>406</v>
      </c>
      <c r="L57" t="s">
        <v>406</v>
      </c>
      <c r="M57" t="s">
        <v>406</v>
      </c>
      <c r="R57" t="s">
        <v>279</v>
      </c>
      <c r="S57" t="s">
        <v>305</v>
      </c>
      <c r="T57" t="s">
        <v>258</v>
      </c>
      <c r="U57" t="s">
        <v>281</v>
      </c>
      <c r="W57" s="1">
        <f>[6]Tabelle1!B5</f>
        <v>7.1420000000000001E-4</v>
      </c>
      <c r="X57" t="s">
        <v>237</v>
      </c>
      <c r="AD57" t="s">
        <v>223</v>
      </c>
    </row>
    <row r="58" spans="1:30" x14ac:dyDescent="0.35">
      <c r="A58" t="s">
        <v>284</v>
      </c>
      <c r="B58" t="s">
        <v>289</v>
      </c>
      <c r="C58" t="s">
        <v>296</v>
      </c>
      <c r="D58" t="s">
        <v>302</v>
      </c>
      <c r="E58" t="s">
        <v>19</v>
      </c>
      <c r="F58" s="4" t="s">
        <v>124</v>
      </c>
      <c r="G58" t="s">
        <v>74</v>
      </c>
      <c r="H58" t="s">
        <v>74</v>
      </c>
      <c r="I58" t="s">
        <v>74</v>
      </c>
      <c r="K58" t="s">
        <v>406</v>
      </c>
      <c r="L58" t="s">
        <v>406</v>
      </c>
      <c r="M58" t="s">
        <v>406</v>
      </c>
      <c r="R58" t="s">
        <v>279</v>
      </c>
      <c r="S58" t="s">
        <v>305</v>
      </c>
      <c r="T58" t="s">
        <v>258</v>
      </c>
      <c r="U58" t="s">
        <v>281</v>
      </c>
      <c r="W58" s="1">
        <f>[6]Tabelle1!B6</f>
        <v>1.8442E-3</v>
      </c>
      <c r="X58" t="s">
        <v>237</v>
      </c>
      <c r="AD58" t="s">
        <v>223</v>
      </c>
    </row>
    <row r="59" spans="1:30" x14ac:dyDescent="0.35">
      <c r="A59" t="s">
        <v>284</v>
      </c>
      <c r="B59" t="s">
        <v>290</v>
      </c>
      <c r="C59" t="s">
        <v>297</v>
      </c>
      <c r="D59" t="s">
        <v>303</v>
      </c>
      <c r="E59" t="s">
        <v>19</v>
      </c>
      <c r="F59" s="4" t="s">
        <v>75</v>
      </c>
      <c r="G59" t="s">
        <v>74</v>
      </c>
      <c r="H59" t="s">
        <v>74</v>
      </c>
      <c r="I59" t="s">
        <v>74</v>
      </c>
      <c r="K59" t="s">
        <v>406</v>
      </c>
      <c r="L59" t="s">
        <v>406</v>
      </c>
      <c r="M59" t="s">
        <v>406</v>
      </c>
      <c r="R59" t="s">
        <v>279</v>
      </c>
      <c r="S59" t="s">
        <v>305</v>
      </c>
      <c r="T59" t="s">
        <v>258</v>
      </c>
      <c r="U59" t="s">
        <v>281</v>
      </c>
      <c r="W59" s="1">
        <f>[6]Tabelle1!B7</f>
        <v>2.0499999999999997E-3</v>
      </c>
      <c r="X59" t="s">
        <v>237</v>
      </c>
      <c r="AD59" t="s">
        <v>223</v>
      </c>
    </row>
    <row r="60" spans="1:30" x14ac:dyDescent="0.35">
      <c r="A60" t="s">
        <v>284</v>
      </c>
      <c r="B60" t="s">
        <v>291</v>
      </c>
      <c r="C60" t="s">
        <v>298</v>
      </c>
      <c r="D60" t="s">
        <v>304</v>
      </c>
      <c r="E60" t="s">
        <v>19</v>
      </c>
      <c r="F60" s="4" t="s">
        <v>75</v>
      </c>
      <c r="G60" t="s">
        <v>74</v>
      </c>
      <c r="H60" t="s">
        <v>74</v>
      </c>
      <c r="I60" t="s">
        <v>74</v>
      </c>
      <c r="K60" t="s">
        <v>406</v>
      </c>
      <c r="L60" t="s">
        <v>406</v>
      </c>
      <c r="M60" t="s">
        <v>406</v>
      </c>
      <c r="R60" t="s">
        <v>279</v>
      </c>
      <c r="S60" t="s">
        <v>305</v>
      </c>
      <c r="T60" t="s">
        <v>258</v>
      </c>
      <c r="U60" t="s">
        <v>281</v>
      </c>
      <c r="W60" s="1">
        <f>[6]Tabelle1!B8</f>
        <v>3.2000000000000002E-3</v>
      </c>
      <c r="X60" t="s">
        <v>237</v>
      </c>
      <c r="AD60" t="s">
        <v>223</v>
      </c>
    </row>
    <row r="61" spans="1:30" x14ac:dyDescent="0.35">
      <c r="A61" t="s">
        <v>67</v>
      </c>
      <c r="B61" t="s">
        <v>14</v>
      </c>
      <c r="C61" t="s">
        <v>17</v>
      </c>
      <c r="D61" t="s">
        <v>18</v>
      </c>
      <c r="E61" t="s">
        <v>19</v>
      </c>
      <c r="F61" t="s">
        <v>20</v>
      </c>
      <c r="G61" t="s">
        <v>360</v>
      </c>
      <c r="H61" t="s">
        <v>402</v>
      </c>
      <c r="I61" t="s">
        <v>376</v>
      </c>
      <c r="K61" t="s">
        <v>406</v>
      </c>
      <c r="L61" t="s">
        <v>406</v>
      </c>
      <c r="M61" t="s">
        <v>406</v>
      </c>
      <c r="R61" t="s">
        <v>279</v>
      </c>
      <c r="S61" t="s">
        <v>238</v>
      </c>
      <c r="T61" t="s">
        <v>258</v>
      </c>
      <c r="U61" t="s">
        <v>281</v>
      </c>
      <c r="W61" s="1">
        <v>1.303E-2</v>
      </c>
      <c r="X61" t="s">
        <v>237</v>
      </c>
      <c r="Y61" s="3"/>
      <c r="Z61" s="3"/>
      <c r="AA61">
        <v>3.2</v>
      </c>
      <c r="AB61">
        <v>42.3</v>
      </c>
      <c r="AC61">
        <v>114</v>
      </c>
      <c r="AD61" t="s">
        <v>223</v>
      </c>
    </row>
    <row r="62" spans="1:30" x14ac:dyDescent="0.35">
      <c r="A62" t="s">
        <v>67</v>
      </c>
      <c r="B62" t="s">
        <v>10</v>
      </c>
      <c r="C62" t="s">
        <v>25</v>
      </c>
      <c r="D62" t="s">
        <v>24</v>
      </c>
      <c r="E62" t="s">
        <v>19</v>
      </c>
      <c r="F62" t="s">
        <v>20</v>
      </c>
      <c r="G62" t="s">
        <v>360</v>
      </c>
      <c r="H62" t="s">
        <v>402</v>
      </c>
      <c r="I62" t="s">
        <v>376</v>
      </c>
      <c r="K62" t="s">
        <v>406</v>
      </c>
      <c r="L62" t="s">
        <v>406</v>
      </c>
      <c r="M62" t="s">
        <v>406</v>
      </c>
      <c r="R62" t="s">
        <v>279</v>
      </c>
      <c r="S62" t="s">
        <v>238</v>
      </c>
      <c r="T62" t="s">
        <v>258</v>
      </c>
      <c r="U62" t="s">
        <v>281</v>
      </c>
      <c r="W62" s="1">
        <v>3.9100000000000003E-3</v>
      </c>
      <c r="X62" t="s">
        <v>237</v>
      </c>
      <c r="Y62" s="3"/>
      <c r="Z62" s="3"/>
      <c r="AA62">
        <v>3.12</v>
      </c>
      <c r="AB62">
        <v>38.700000000000003</v>
      </c>
      <c r="AC62">
        <v>81</v>
      </c>
      <c r="AD62" t="s">
        <v>223</v>
      </c>
    </row>
    <row r="63" spans="1:30" x14ac:dyDescent="0.35">
      <c r="A63" t="s">
        <v>67</v>
      </c>
      <c r="B63" t="s">
        <v>59</v>
      </c>
      <c r="C63" t="s">
        <v>62</v>
      </c>
      <c r="D63" t="s">
        <v>36</v>
      </c>
      <c r="E63" t="s">
        <v>19</v>
      </c>
      <c r="F63" t="s">
        <v>20</v>
      </c>
      <c r="G63" t="s">
        <v>360</v>
      </c>
      <c r="H63" t="s">
        <v>402</v>
      </c>
      <c r="I63" t="s">
        <v>376</v>
      </c>
      <c r="K63" t="s">
        <v>406</v>
      </c>
      <c r="L63" t="s">
        <v>406</v>
      </c>
      <c r="M63" t="s">
        <v>406</v>
      </c>
      <c r="R63" t="s">
        <v>279</v>
      </c>
      <c r="S63" t="s">
        <v>238</v>
      </c>
      <c r="T63" t="s">
        <v>258</v>
      </c>
      <c r="U63" t="s">
        <v>281</v>
      </c>
      <c r="W63" s="1">
        <v>1.038E-2</v>
      </c>
      <c r="X63" t="s">
        <v>237</v>
      </c>
      <c r="Y63" s="3"/>
      <c r="Z63" s="3"/>
      <c r="AA63">
        <v>3.07</v>
      </c>
      <c r="AB63">
        <v>41.9</v>
      </c>
      <c r="AC63">
        <v>118</v>
      </c>
      <c r="AD63" t="s">
        <v>223</v>
      </c>
    </row>
    <row r="64" spans="1:30" x14ac:dyDescent="0.35">
      <c r="A64" t="s">
        <v>67</v>
      </c>
      <c r="B64" t="s">
        <v>60</v>
      </c>
      <c r="C64" t="s">
        <v>64</v>
      </c>
      <c r="D64" t="s">
        <v>63</v>
      </c>
      <c r="E64" t="s">
        <v>19</v>
      </c>
      <c r="F64" t="s">
        <v>20</v>
      </c>
      <c r="G64" t="s">
        <v>360</v>
      </c>
      <c r="H64" t="s">
        <v>402</v>
      </c>
      <c r="I64" t="s">
        <v>376</v>
      </c>
      <c r="K64" t="s">
        <v>406</v>
      </c>
      <c r="L64" t="s">
        <v>406</v>
      </c>
      <c r="M64" t="s">
        <v>406</v>
      </c>
      <c r="R64" t="s">
        <v>279</v>
      </c>
      <c r="S64" t="s">
        <v>238</v>
      </c>
      <c r="T64" t="s">
        <v>258</v>
      </c>
      <c r="U64" t="s">
        <v>281</v>
      </c>
      <c r="W64" s="1">
        <v>8.8199999999999997E-3</v>
      </c>
      <c r="X64" t="s">
        <v>237</v>
      </c>
      <c r="Y64" s="3"/>
      <c r="Z64" s="3"/>
      <c r="AA64">
        <v>3.28</v>
      </c>
      <c r="AB64">
        <v>38.700000000000003</v>
      </c>
      <c r="AC64">
        <v>78</v>
      </c>
      <c r="AD64" t="s">
        <v>223</v>
      </c>
    </row>
    <row r="65" spans="1:30" x14ac:dyDescent="0.35">
      <c r="A65" t="s">
        <v>67</v>
      </c>
      <c r="B65" t="s">
        <v>61</v>
      </c>
      <c r="C65" t="s">
        <v>66</v>
      </c>
      <c r="D65" t="s">
        <v>65</v>
      </c>
      <c r="E65" t="s">
        <v>19</v>
      </c>
      <c r="F65" t="s">
        <v>20</v>
      </c>
      <c r="G65" t="s">
        <v>360</v>
      </c>
      <c r="H65" t="s">
        <v>402</v>
      </c>
      <c r="I65" t="s">
        <v>376</v>
      </c>
      <c r="K65" t="s">
        <v>406</v>
      </c>
      <c r="L65" t="s">
        <v>406</v>
      </c>
      <c r="M65" t="s">
        <v>406</v>
      </c>
      <c r="R65" t="s">
        <v>279</v>
      </c>
      <c r="S65" t="s">
        <v>238</v>
      </c>
      <c r="T65" t="s">
        <v>258</v>
      </c>
      <c r="U65" t="s">
        <v>281</v>
      </c>
      <c r="W65" s="1">
        <v>4.4799999999999996E-3</v>
      </c>
      <c r="X65" t="s">
        <v>237</v>
      </c>
      <c r="Y65" s="3"/>
      <c r="Z65" s="3"/>
      <c r="AA65">
        <v>3.5</v>
      </c>
      <c r="AB65">
        <v>35</v>
      </c>
      <c r="AC65">
        <v>53</v>
      </c>
      <c r="AD65" t="s">
        <v>223</v>
      </c>
    </row>
    <row r="66" spans="1:30" x14ac:dyDescent="0.35">
      <c r="A66" t="s">
        <v>83</v>
      </c>
      <c r="B66" t="s">
        <v>79</v>
      </c>
      <c r="C66" t="s">
        <v>80</v>
      </c>
      <c r="D66" t="s">
        <v>81</v>
      </c>
      <c r="E66" t="s">
        <v>19</v>
      </c>
      <c r="F66" t="s">
        <v>82</v>
      </c>
      <c r="G66" t="s">
        <v>82</v>
      </c>
      <c r="H66" t="s">
        <v>82</v>
      </c>
      <c r="I66" t="s">
        <v>378</v>
      </c>
      <c r="J66">
        <f>+AVERAGE(14,17)</f>
        <v>15.5</v>
      </c>
      <c r="K66" t="s">
        <v>406</v>
      </c>
      <c r="L66" t="s">
        <v>406</v>
      </c>
      <c r="M66" t="s">
        <v>406</v>
      </c>
      <c r="R66" t="s">
        <v>279</v>
      </c>
      <c r="S66" t="s">
        <v>251</v>
      </c>
      <c r="T66" t="s">
        <v>216</v>
      </c>
      <c r="U66" t="s">
        <v>281</v>
      </c>
      <c r="V66" s="1">
        <f>0.00000000298*20/1000</f>
        <v>5.9600000000000006E-11</v>
      </c>
      <c r="W66" s="1">
        <f>+V66/Y66*1000000</f>
        <v>2.9175346738260561E-4</v>
      </c>
      <c r="X66" t="s">
        <v>234</v>
      </c>
      <c r="Y66" s="3">
        <f>+(AA66/2)^2*PI()</f>
        <v>0.2042820622996763</v>
      </c>
      <c r="AA66">
        <v>0.51</v>
      </c>
      <c r="AD66" t="s">
        <v>213</v>
      </c>
    </row>
    <row r="67" spans="1:30" x14ac:dyDescent="0.35">
      <c r="A67" t="s">
        <v>83</v>
      </c>
      <c r="B67" t="s">
        <v>79</v>
      </c>
      <c r="C67" t="s">
        <v>80</v>
      </c>
      <c r="D67" t="s">
        <v>81</v>
      </c>
      <c r="E67" t="s">
        <v>19</v>
      </c>
      <c r="F67" t="s">
        <v>82</v>
      </c>
      <c r="G67" t="s">
        <v>82</v>
      </c>
      <c r="H67" t="s">
        <v>82</v>
      </c>
      <c r="I67" t="s">
        <v>378</v>
      </c>
      <c r="J67">
        <f>+AVERAGE(14,17)</f>
        <v>15.5</v>
      </c>
      <c r="K67" t="s">
        <v>406</v>
      </c>
      <c r="L67" t="s">
        <v>406</v>
      </c>
      <c r="M67" t="s">
        <v>406</v>
      </c>
      <c r="R67" t="s">
        <v>279</v>
      </c>
      <c r="S67" t="s">
        <v>256</v>
      </c>
      <c r="T67" t="s">
        <v>216</v>
      </c>
      <c r="U67" t="s">
        <v>281</v>
      </c>
      <c r="V67" s="1">
        <f>0.000000000158*20/1000</f>
        <v>3.1599999999999999E-12</v>
      </c>
      <c r="W67" s="1">
        <f t="shared" ref="W67" si="4">+V67/Y67*1000000</f>
        <v>4.2761578928293282E-6</v>
      </c>
      <c r="X67" t="s">
        <v>234</v>
      </c>
      <c r="Y67" s="3">
        <f t="shared" ref="Y67" si="5">+(AA67/2)^2*PI()</f>
        <v>0.73898113194065906</v>
      </c>
      <c r="AA67">
        <v>0.97</v>
      </c>
      <c r="AD67" t="s">
        <v>213</v>
      </c>
    </row>
    <row r="68" spans="1:30" x14ac:dyDescent="0.35">
      <c r="A68" t="s">
        <v>78</v>
      </c>
      <c r="B68" t="s">
        <v>68</v>
      </c>
      <c r="C68" t="s">
        <v>73</v>
      </c>
      <c r="D68" t="s">
        <v>76</v>
      </c>
      <c r="E68" t="s">
        <v>19</v>
      </c>
      <c r="F68" s="4" t="s">
        <v>75</v>
      </c>
      <c r="G68" t="s">
        <v>74</v>
      </c>
      <c r="H68" t="s">
        <v>74</v>
      </c>
      <c r="I68" t="s">
        <v>74</v>
      </c>
      <c r="K68" t="s">
        <v>388</v>
      </c>
      <c r="L68" t="s">
        <v>71</v>
      </c>
      <c r="M68" t="s">
        <v>398</v>
      </c>
      <c r="R68" t="s">
        <v>279</v>
      </c>
      <c r="S68" t="s">
        <v>243</v>
      </c>
      <c r="T68" t="s">
        <v>252</v>
      </c>
      <c r="U68" t="s">
        <v>281</v>
      </c>
      <c r="V68" s="1">
        <f>[7]Pratt_eatl_2010_Fig3c!C2</f>
        <v>4.0375921650671498E-12</v>
      </c>
      <c r="X68" t="s">
        <v>242</v>
      </c>
      <c r="AD68" t="s">
        <v>247</v>
      </c>
    </row>
    <row r="69" spans="1:30" x14ac:dyDescent="0.35">
      <c r="A69" t="s">
        <v>78</v>
      </c>
      <c r="B69" t="s">
        <v>69</v>
      </c>
      <c r="C69" t="s">
        <v>73</v>
      </c>
      <c r="D69" t="s">
        <v>76</v>
      </c>
      <c r="E69" t="s">
        <v>19</v>
      </c>
      <c r="F69" s="4" t="s">
        <v>75</v>
      </c>
      <c r="G69" t="s">
        <v>74</v>
      </c>
      <c r="H69" t="s">
        <v>74</v>
      </c>
      <c r="I69" t="s">
        <v>74</v>
      </c>
      <c r="K69" t="s">
        <v>388</v>
      </c>
      <c r="L69" t="s">
        <v>71</v>
      </c>
      <c r="M69" t="s">
        <v>398</v>
      </c>
      <c r="R69" t="s">
        <v>279</v>
      </c>
      <c r="S69" t="s">
        <v>243</v>
      </c>
      <c r="T69" t="s">
        <v>252</v>
      </c>
      <c r="U69" t="s">
        <v>281</v>
      </c>
      <c r="V69" s="1">
        <f>[7]Pratt_eatl_2010_Fig3c!C3</f>
        <v>3.7101182782137297E-12</v>
      </c>
      <c r="X69" t="s">
        <v>242</v>
      </c>
      <c r="Y69">
        <f>0.051*PI()*9</f>
        <v>1.4419910279977151</v>
      </c>
      <c r="AD69" t="s">
        <v>247</v>
      </c>
    </row>
    <row r="70" spans="1:30" x14ac:dyDescent="0.35">
      <c r="A70" t="s">
        <v>78</v>
      </c>
      <c r="B70" t="s">
        <v>70</v>
      </c>
      <c r="C70" t="s">
        <v>77</v>
      </c>
      <c r="D70" t="s">
        <v>76</v>
      </c>
      <c r="E70" t="s">
        <v>19</v>
      </c>
      <c r="F70" s="4" t="s">
        <v>75</v>
      </c>
      <c r="G70" t="s">
        <v>74</v>
      </c>
      <c r="H70" t="s">
        <v>74</v>
      </c>
      <c r="I70" t="s">
        <v>74</v>
      </c>
      <c r="K70" t="s">
        <v>388</v>
      </c>
      <c r="L70" t="s">
        <v>71</v>
      </c>
      <c r="M70" t="s">
        <v>398</v>
      </c>
      <c r="R70" t="s">
        <v>279</v>
      </c>
      <c r="S70" t="s">
        <v>243</v>
      </c>
      <c r="T70" t="s">
        <v>252</v>
      </c>
      <c r="U70" t="s">
        <v>281</v>
      </c>
      <c r="V70" s="1">
        <f>[7]Pratt_eatl_2010_Fig3c!C4</f>
        <v>2.6081137612015102E-12</v>
      </c>
      <c r="X70" t="s">
        <v>242</v>
      </c>
      <c r="AD70" t="s">
        <v>247</v>
      </c>
    </row>
    <row r="71" spans="1:30" x14ac:dyDescent="0.35">
      <c r="A71" t="s">
        <v>78</v>
      </c>
      <c r="B71" t="s">
        <v>68</v>
      </c>
      <c r="C71" t="s">
        <v>73</v>
      </c>
      <c r="D71" t="s">
        <v>76</v>
      </c>
      <c r="E71" t="s">
        <v>19</v>
      </c>
      <c r="F71" s="4" t="s">
        <v>75</v>
      </c>
      <c r="G71" t="s">
        <v>74</v>
      </c>
      <c r="H71" t="s">
        <v>74</v>
      </c>
      <c r="I71" t="s">
        <v>74</v>
      </c>
      <c r="K71" t="s">
        <v>388</v>
      </c>
      <c r="L71" t="s">
        <v>71</v>
      </c>
      <c r="M71" t="s">
        <v>398</v>
      </c>
      <c r="R71" t="s">
        <v>279</v>
      </c>
      <c r="S71" t="s">
        <v>244</v>
      </c>
      <c r="T71" t="s">
        <v>216</v>
      </c>
      <c r="U71" t="s">
        <v>281</v>
      </c>
      <c r="V71" s="1">
        <f>[7]Pratt_eatl_2010_Fig3c!C5</f>
        <v>1.18989928642709E-10</v>
      </c>
      <c r="X71" t="s">
        <v>242</v>
      </c>
      <c r="AD71" t="s">
        <v>247</v>
      </c>
    </row>
    <row r="72" spans="1:30" x14ac:dyDescent="0.35">
      <c r="A72" t="s">
        <v>78</v>
      </c>
      <c r="B72" t="s">
        <v>69</v>
      </c>
      <c r="C72" t="s">
        <v>73</v>
      </c>
      <c r="D72" t="s">
        <v>76</v>
      </c>
      <c r="E72" t="s">
        <v>19</v>
      </c>
      <c r="F72" s="4" t="s">
        <v>75</v>
      </c>
      <c r="G72" t="s">
        <v>74</v>
      </c>
      <c r="H72" t="s">
        <v>74</v>
      </c>
      <c r="I72" t="s">
        <v>74</v>
      </c>
      <c r="K72" t="s">
        <v>388</v>
      </c>
      <c r="L72" t="s">
        <v>71</v>
      </c>
      <c r="M72" t="s">
        <v>398</v>
      </c>
      <c r="R72" t="s">
        <v>279</v>
      </c>
      <c r="S72" t="s">
        <v>244</v>
      </c>
      <c r="T72" t="s">
        <v>216</v>
      </c>
      <c r="U72" t="s">
        <v>281</v>
      </c>
      <c r="V72" s="1">
        <f>[7]Pratt_eatl_2010_Fig3c!C6</f>
        <v>5.1794746792311999E-11</v>
      </c>
      <c r="X72" t="s">
        <v>242</v>
      </c>
      <c r="AD72" t="s">
        <v>247</v>
      </c>
    </row>
    <row r="73" spans="1:30" x14ac:dyDescent="0.35">
      <c r="A73" t="s">
        <v>78</v>
      </c>
      <c r="B73" t="s">
        <v>70</v>
      </c>
      <c r="C73" t="s">
        <v>77</v>
      </c>
      <c r="D73" t="s">
        <v>76</v>
      </c>
      <c r="E73" t="s">
        <v>19</v>
      </c>
      <c r="F73" s="4" t="s">
        <v>75</v>
      </c>
      <c r="G73" t="s">
        <v>74</v>
      </c>
      <c r="H73" t="s">
        <v>74</v>
      </c>
      <c r="I73" t="s">
        <v>74</v>
      </c>
      <c r="K73" t="s">
        <v>388</v>
      </c>
      <c r="L73" t="s">
        <v>71</v>
      </c>
      <c r="M73" t="s">
        <v>398</v>
      </c>
      <c r="R73" t="s">
        <v>279</v>
      </c>
      <c r="S73" t="s">
        <v>244</v>
      </c>
      <c r="T73" t="s">
        <v>216</v>
      </c>
      <c r="U73" t="s">
        <v>281</v>
      </c>
      <c r="V73" s="1">
        <f>[7]Pratt_eatl_2010_Fig3c!C7</f>
        <v>1.79929362329155E-11</v>
      </c>
      <c r="X73" t="s">
        <v>242</v>
      </c>
      <c r="AD73" t="s">
        <v>247</v>
      </c>
    </row>
    <row r="74" spans="1:30" x14ac:dyDescent="0.35">
      <c r="A74" t="s">
        <v>78</v>
      </c>
      <c r="B74" t="s">
        <v>68</v>
      </c>
      <c r="C74" t="s">
        <v>73</v>
      </c>
      <c r="D74" t="s">
        <v>76</v>
      </c>
      <c r="E74" t="s">
        <v>19</v>
      </c>
      <c r="F74" s="4" t="s">
        <v>75</v>
      </c>
      <c r="G74" t="s">
        <v>74</v>
      </c>
      <c r="H74" t="s">
        <v>74</v>
      </c>
      <c r="I74" t="s">
        <v>74</v>
      </c>
      <c r="K74" t="s">
        <v>388</v>
      </c>
      <c r="L74" t="s">
        <v>72</v>
      </c>
      <c r="M74" t="s">
        <v>398</v>
      </c>
      <c r="R74" t="s">
        <v>279</v>
      </c>
      <c r="S74" t="s">
        <v>243</v>
      </c>
      <c r="T74" t="s">
        <v>252</v>
      </c>
      <c r="U74" t="s">
        <v>281</v>
      </c>
      <c r="V74" s="1">
        <f>[8]Pratt_eatl_2010_Fig3e!C2</f>
        <v>1.0480128284813199E-11</v>
      </c>
      <c r="X74" t="s">
        <v>242</v>
      </c>
      <c r="AD74" t="s">
        <v>247</v>
      </c>
    </row>
    <row r="75" spans="1:30" x14ac:dyDescent="0.35">
      <c r="A75" t="s">
        <v>78</v>
      </c>
      <c r="B75" t="s">
        <v>69</v>
      </c>
      <c r="C75" t="s">
        <v>73</v>
      </c>
      <c r="D75" t="s">
        <v>76</v>
      </c>
      <c r="E75" t="s">
        <v>19</v>
      </c>
      <c r="F75" s="4" t="s">
        <v>75</v>
      </c>
      <c r="G75" t="s">
        <v>74</v>
      </c>
      <c r="H75" t="s">
        <v>74</v>
      </c>
      <c r="I75" t="s">
        <v>74</v>
      </c>
      <c r="K75" t="s">
        <v>388</v>
      </c>
      <c r="L75" t="s">
        <v>72</v>
      </c>
      <c r="M75" t="s">
        <v>398</v>
      </c>
      <c r="R75" t="s">
        <v>279</v>
      </c>
      <c r="S75" t="s">
        <v>243</v>
      </c>
      <c r="T75" t="s">
        <v>252</v>
      </c>
      <c r="U75" t="s">
        <v>281</v>
      </c>
      <c r="V75" s="1">
        <f>[8]Pratt_eatl_2010_Fig3e!C3</f>
        <v>2.40356237574193E-11</v>
      </c>
      <c r="X75" t="s">
        <v>242</v>
      </c>
      <c r="AD75" t="s">
        <v>247</v>
      </c>
    </row>
    <row r="76" spans="1:30" x14ac:dyDescent="0.35">
      <c r="A76" t="s">
        <v>78</v>
      </c>
      <c r="B76" t="s">
        <v>70</v>
      </c>
      <c r="C76" t="s">
        <v>77</v>
      </c>
      <c r="D76" t="s">
        <v>76</v>
      </c>
      <c r="E76" t="s">
        <v>19</v>
      </c>
      <c r="F76" s="4" t="s">
        <v>75</v>
      </c>
      <c r="G76" t="s">
        <v>74</v>
      </c>
      <c r="H76" t="s">
        <v>74</v>
      </c>
      <c r="I76" t="s">
        <v>74</v>
      </c>
      <c r="K76" t="s">
        <v>388</v>
      </c>
      <c r="L76" t="s">
        <v>72</v>
      </c>
      <c r="M76" t="s">
        <v>398</v>
      </c>
      <c r="R76" t="s">
        <v>279</v>
      </c>
      <c r="S76" t="s">
        <v>243</v>
      </c>
      <c r="T76" t="s">
        <v>252</v>
      </c>
      <c r="U76" t="s">
        <v>281</v>
      </c>
      <c r="V76" s="1">
        <f>[8]Pratt_eatl_2010_Fig3e!C4</f>
        <v>4.5695959453616594E-12</v>
      </c>
      <c r="X76" t="s">
        <v>242</v>
      </c>
      <c r="AD76" t="s">
        <v>247</v>
      </c>
    </row>
    <row r="77" spans="1:30" x14ac:dyDescent="0.35">
      <c r="A77" t="s">
        <v>78</v>
      </c>
      <c r="B77" t="s">
        <v>68</v>
      </c>
      <c r="C77" t="s">
        <v>73</v>
      </c>
      <c r="D77" t="s">
        <v>76</v>
      </c>
      <c r="E77" t="s">
        <v>19</v>
      </c>
      <c r="F77" s="4" t="s">
        <v>75</v>
      </c>
      <c r="G77" t="s">
        <v>74</v>
      </c>
      <c r="H77" t="s">
        <v>74</v>
      </c>
      <c r="I77" t="s">
        <v>74</v>
      </c>
      <c r="K77" t="s">
        <v>388</v>
      </c>
      <c r="L77" t="s">
        <v>72</v>
      </c>
      <c r="M77" t="s">
        <v>398</v>
      </c>
      <c r="R77" t="s">
        <v>279</v>
      </c>
      <c r="S77" t="s">
        <v>244</v>
      </c>
      <c r="T77" t="s">
        <v>216</v>
      </c>
      <c r="U77" t="s">
        <v>281</v>
      </c>
      <c r="V77" s="1">
        <f>[8]Pratt_eatl_2010_Fig3e!C5</f>
        <v>2.09793612219554E-10</v>
      </c>
      <c r="X77" t="s">
        <v>242</v>
      </c>
      <c r="AD77" t="s">
        <v>247</v>
      </c>
    </row>
    <row r="78" spans="1:30" x14ac:dyDescent="0.35">
      <c r="A78" t="s">
        <v>78</v>
      </c>
      <c r="B78" t="s">
        <v>69</v>
      </c>
      <c r="C78" t="s">
        <v>73</v>
      </c>
      <c r="D78" t="s">
        <v>76</v>
      </c>
      <c r="E78" t="s">
        <v>19</v>
      </c>
      <c r="F78" s="4" t="s">
        <v>75</v>
      </c>
      <c r="G78" t="s">
        <v>74</v>
      </c>
      <c r="H78" t="s">
        <v>74</v>
      </c>
      <c r="I78" t="s">
        <v>74</v>
      </c>
      <c r="K78" t="s">
        <v>388</v>
      </c>
      <c r="L78" t="s">
        <v>72</v>
      </c>
      <c r="M78" t="s">
        <v>398</v>
      </c>
      <c r="R78" t="s">
        <v>279</v>
      </c>
      <c r="S78" t="s">
        <v>244</v>
      </c>
      <c r="T78" t="s">
        <v>216</v>
      </c>
      <c r="U78" t="s">
        <v>281</v>
      </c>
      <c r="V78" s="1">
        <f>[8]Pratt_eatl_2010_Fig3e!C6</f>
        <v>1.0237249769744401E-10</v>
      </c>
      <c r="X78" t="s">
        <v>242</v>
      </c>
      <c r="AD78" t="s">
        <v>247</v>
      </c>
    </row>
    <row r="79" spans="1:30" x14ac:dyDescent="0.35">
      <c r="A79" t="s">
        <v>78</v>
      </c>
      <c r="B79" t="s">
        <v>70</v>
      </c>
      <c r="C79" t="s">
        <v>77</v>
      </c>
      <c r="D79" t="s">
        <v>76</v>
      </c>
      <c r="E79" t="s">
        <v>19</v>
      </c>
      <c r="F79" s="4" t="s">
        <v>75</v>
      </c>
      <c r="G79" t="s">
        <v>74</v>
      </c>
      <c r="H79" t="s">
        <v>74</v>
      </c>
      <c r="I79" t="s">
        <v>74</v>
      </c>
      <c r="K79" t="s">
        <v>388</v>
      </c>
      <c r="L79" t="s">
        <v>72</v>
      </c>
      <c r="M79" t="s">
        <v>398</v>
      </c>
      <c r="R79" t="s">
        <v>279</v>
      </c>
      <c r="S79" t="s">
        <v>244</v>
      </c>
      <c r="T79" t="s">
        <v>216</v>
      </c>
      <c r="U79" t="s">
        <v>281</v>
      </c>
      <c r="V79" s="1">
        <f>[8]Pratt_eatl_2010_Fig3e!C7</f>
        <v>1.1783738485633301E-10</v>
      </c>
      <c r="X79" t="s">
        <v>242</v>
      </c>
      <c r="AD79" t="s">
        <v>247</v>
      </c>
    </row>
    <row r="80" spans="1:30" x14ac:dyDescent="0.35">
      <c r="A80" t="s">
        <v>96</v>
      </c>
      <c r="B80" t="s">
        <v>88</v>
      </c>
      <c r="C80" t="s">
        <v>89</v>
      </c>
      <c r="D80" t="s">
        <v>22</v>
      </c>
      <c r="E80" t="s">
        <v>19</v>
      </c>
      <c r="F80" t="s">
        <v>23</v>
      </c>
      <c r="G80" t="s">
        <v>365</v>
      </c>
      <c r="H80" t="s">
        <v>403</v>
      </c>
      <c r="I80" t="s">
        <v>376</v>
      </c>
      <c r="J80">
        <f>3*365</f>
        <v>1095</v>
      </c>
      <c r="K80" t="s">
        <v>366</v>
      </c>
      <c r="L80" t="s">
        <v>7</v>
      </c>
      <c r="M80" t="s">
        <v>7</v>
      </c>
      <c r="R80" t="s">
        <v>279</v>
      </c>
      <c r="S80" t="s">
        <v>246</v>
      </c>
      <c r="T80" t="s">
        <v>258</v>
      </c>
      <c r="U80" t="s">
        <v>281</v>
      </c>
      <c r="W80" s="1">
        <v>7.5000000000000002E-4</v>
      </c>
      <c r="X80" t="s">
        <v>237</v>
      </c>
      <c r="AA80">
        <f>+AVERAGE(1.6,4.1)</f>
        <v>2.8499999999999996</v>
      </c>
      <c r="AB80">
        <v>25</v>
      </c>
      <c r="AD80" t="s">
        <v>245</v>
      </c>
    </row>
    <row r="81" spans="1:30" x14ac:dyDescent="0.35">
      <c r="A81" t="s">
        <v>96</v>
      </c>
      <c r="B81" t="s">
        <v>84</v>
      </c>
      <c r="C81" t="s">
        <v>90</v>
      </c>
      <c r="D81" t="s">
        <v>93</v>
      </c>
      <c r="E81" t="s">
        <v>19</v>
      </c>
      <c r="F81" t="s">
        <v>20</v>
      </c>
      <c r="G81" t="s">
        <v>360</v>
      </c>
      <c r="H81" t="s">
        <v>402</v>
      </c>
      <c r="I81" t="s">
        <v>376</v>
      </c>
      <c r="J81">
        <f t="shared" ref="J81:J87" si="6">3*365</f>
        <v>1095</v>
      </c>
      <c r="K81" t="s">
        <v>366</v>
      </c>
      <c r="L81" t="s">
        <v>7</v>
      </c>
      <c r="M81" t="s">
        <v>7</v>
      </c>
      <c r="R81" t="s">
        <v>279</v>
      </c>
      <c r="S81" t="s">
        <v>246</v>
      </c>
      <c r="T81" t="s">
        <v>258</v>
      </c>
      <c r="U81" t="s">
        <v>281</v>
      </c>
      <c r="W81" s="1">
        <v>4.6600000000000001E-3</v>
      </c>
      <c r="X81" t="s">
        <v>237</v>
      </c>
      <c r="AA81">
        <f t="shared" ref="AA81:AA87" si="7">+AVERAGE(1.6,4.1)</f>
        <v>2.8499999999999996</v>
      </c>
      <c r="AB81">
        <v>45</v>
      </c>
      <c r="AD81" t="s">
        <v>245</v>
      </c>
    </row>
    <row r="82" spans="1:30" x14ac:dyDescent="0.35">
      <c r="A82" t="s">
        <v>96</v>
      </c>
      <c r="B82" t="s">
        <v>85</v>
      </c>
      <c r="C82" t="s">
        <v>91</v>
      </c>
      <c r="D82" t="s">
        <v>94</v>
      </c>
      <c r="E82" t="s">
        <v>19</v>
      </c>
      <c r="F82" t="s">
        <v>20</v>
      </c>
      <c r="G82" t="s">
        <v>360</v>
      </c>
      <c r="H82" t="s">
        <v>402</v>
      </c>
      <c r="I82" t="s">
        <v>376</v>
      </c>
      <c r="J82">
        <f t="shared" si="6"/>
        <v>1095</v>
      </c>
      <c r="K82" t="s">
        <v>366</v>
      </c>
      <c r="L82" t="s">
        <v>7</v>
      </c>
      <c r="M82" t="s">
        <v>7</v>
      </c>
      <c r="R82" t="s">
        <v>279</v>
      </c>
      <c r="S82" t="s">
        <v>246</v>
      </c>
      <c r="T82" t="s">
        <v>258</v>
      </c>
      <c r="U82" t="s">
        <v>281</v>
      </c>
      <c r="W82" s="1">
        <v>2.4299999999999999E-3</v>
      </c>
      <c r="X82" t="s">
        <v>237</v>
      </c>
      <c r="AA82">
        <f t="shared" si="7"/>
        <v>2.8499999999999996</v>
      </c>
      <c r="AB82">
        <v>60</v>
      </c>
      <c r="AD82" t="s">
        <v>245</v>
      </c>
    </row>
    <row r="83" spans="1:30" x14ac:dyDescent="0.35">
      <c r="A83" t="s">
        <v>96</v>
      </c>
      <c r="B83" t="s">
        <v>86</v>
      </c>
      <c r="C83" t="s">
        <v>92</v>
      </c>
      <c r="D83" t="s">
        <v>95</v>
      </c>
      <c r="E83" t="s">
        <v>19</v>
      </c>
      <c r="F83" t="s">
        <v>20</v>
      </c>
      <c r="G83" t="s">
        <v>360</v>
      </c>
      <c r="H83" t="s">
        <v>402</v>
      </c>
      <c r="I83" t="s">
        <v>376</v>
      </c>
      <c r="J83">
        <f t="shared" si="6"/>
        <v>1095</v>
      </c>
      <c r="K83" t="s">
        <v>366</v>
      </c>
      <c r="L83" t="s">
        <v>7</v>
      </c>
      <c r="M83" t="s">
        <v>7</v>
      </c>
      <c r="R83" t="s">
        <v>279</v>
      </c>
      <c r="S83" t="s">
        <v>246</v>
      </c>
      <c r="T83" t="s">
        <v>258</v>
      </c>
      <c r="U83" t="s">
        <v>281</v>
      </c>
      <c r="W83" s="1">
        <v>2.0000000000000001E-4</v>
      </c>
      <c r="X83" t="s">
        <v>237</v>
      </c>
      <c r="AA83">
        <f t="shared" si="7"/>
        <v>2.8499999999999996</v>
      </c>
      <c r="AB83">
        <v>30</v>
      </c>
      <c r="AD83" t="s">
        <v>245</v>
      </c>
    </row>
    <row r="84" spans="1:30" x14ac:dyDescent="0.35">
      <c r="A84" t="s">
        <v>96</v>
      </c>
      <c r="B84" t="s">
        <v>88</v>
      </c>
      <c r="C84" t="s">
        <v>89</v>
      </c>
      <c r="D84" t="s">
        <v>22</v>
      </c>
      <c r="E84" t="s">
        <v>19</v>
      </c>
      <c r="F84" t="s">
        <v>23</v>
      </c>
      <c r="G84" t="s">
        <v>365</v>
      </c>
      <c r="H84" t="s">
        <v>403</v>
      </c>
      <c r="I84" t="s">
        <v>376</v>
      </c>
      <c r="J84">
        <f t="shared" si="6"/>
        <v>1095</v>
      </c>
      <c r="K84" t="s">
        <v>366</v>
      </c>
      <c r="L84" t="s">
        <v>87</v>
      </c>
      <c r="M84" t="s">
        <v>399</v>
      </c>
      <c r="R84" t="s">
        <v>279</v>
      </c>
      <c r="S84" t="s">
        <v>246</v>
      </c>
      <c r="T84" t="s">
        <v>258</v>
      </c>
      <c r="U84" t="s">
        <v>281</v>
      </c>
      <c r="W84" s="1">
        <v>1.7600000000000001E-3</v>
      </c>
      <c r="X84" t="s">
        <v>237</v>
      </c>
      <c r="AA84">
        <f t="shared" si="7"/>
        <v>2.8499999999999996</v>
      </c>
      <c r="AB84">
        <v>33</v>
      </c>
      <c r="AD84" t="s">
        <v>245</v>
      </c>
    </row>
    <row r="85" spans="1:30" x14ac:dyDescent="0.35">
      <c r="A85" t="s">
        <v>96</v>
      </c>
      <c r="B85" t="s">
        <v>84</v>
      </c>
      <c r="C85" t="s">
        <v>90</v>
      </c>
      <c r="D85" t="s">
        <v>93</v>
      </c>
      <c r="E85" t="s">
        <v>19</v>
      </c>
      <c r="F85" t="s">
        <v>20</v>
      </c>
      <c r="G85" t="s">
        <v>360</v>
      </c>
      <c r="H85" t="s">
        <v>402</v>
      </c>
      <c r="I85" t="s">
        <v>376</v>
      </c>
      <c r="J85">
        <f t="shared" si="6"/>
        <v>1095</v>
      </c>
      <c r="K85" t="s">
        <v>366</v>
      </c>
      <c r="L85" t="s">
        <v>87</v>
      </c>
      <c r="M85" t="s">
        <v>399</v>
      </c>
      <c r="R85" t="s">
        <v>279</v>
      </c>
      <c r="S85" t="s">
        <v>246</v>
      </c>
      <c r="T85" t="s">
        <v>258</v>
      </c>
      <c r="U85" t="s">
        <v>281</v>
      </c>
      <c r="W85" s="1">
        <v>6.1599999999999997E-3</v>
      </c>
      <c r="X85" t="s">
        <v>237</v>
      </c>
      <c r="AA85">
        <f t="shared" si="7"/>
        <v>2.8499999999999996</v>
      </c>
      <c r="AB85">
        <v>47</v>
      </c>
      <c r="AD85" t="s">
        <v>245</v>
      </c>
    </row>
    <row r="86" spans="1:30" x14ac:dyDescent="0.35">
      <c r="A86" t="s">
        <v>96</v>
      </c>
      <c r="B86" t="s">
        <v>85</v>
      </c>
      <c r="C86" t="s">
        <v>91</v>
      </c>
      <c r="D86" t="s">
        <v>94</v>
      </c>
      <c r="E86" t="s">
        <v>19</v>
      </c>
      <c r="F86" t="s">
        <v>20</v>
      </c>
      <c r="G86" t="s">
        <v>360</v>
      </c>
      <c r="H86" t="s">
        <v>402</v>
      </c>
      <c r="I86" t="s">
        <v>376</v>
      </c>
      <c r="J86">
        <f t="shared" si="6"/>
        <v>1095</v>
      </c>
      <c r="K86" t="s">
        <v>366</v>
      </c>
      <c r="L86" t="s">
        <v>87</v>
      </c>
      <c r="M86" t="s">
        <v>399</v>
      </c>
      <c r="R86" t="s">
        <v>279</v>
      </c>
      <c r="S86" t="s">
        <v>246</v>
      </c>
      <c r="T86" t="s">
        <v>258</v>
      </c>
      <c r="U86" t="s">
        <v>281</v>
      </c>
      <c r="W86" s="1">
        <v>1.5399999999999999E-3</v>
      </c>
      <c r="X86" t="s">
        <v>237</v>
      </c>
      <c r="AA86">
        <f t="shared" si="7"/>
        <v>2.8499999999999996</v>
      </c>
      <c r="AB86">
        <v>54</v>
      </c>
      <c r="AD86" t="s">
        <v>245</v>
      </c>
    </row>
    <row r="87" spans="1:30" x14ac:dyDescent="0.35">
      <c r="A87" t="s">
        <v>96</v>
      </c>
      <c r="B87" t="s">
        <v>86</v>
      </c>
      <c r="C87" t="s">
        <v>92</v>
      </c>
      <c r="D87" t="s">
        <v>95</v>
      </c>
      <c r="E87" t="s">
        <v>19</v>
      </c>
      <c r="F87" t="s">
        <v>20</v>
      </c>
      <c r="G87" t="s">
        <v>360</v>
      </c>
      <c r="H87" t="s">
        <v>402</v>
      </c>
      <c r="I87" t="s">
        <v>376</v>
      </c>
      <c r="J87">
        <f t="shared" si="6"/>
        <v>1095</v>
      </c>
      <c r="K87" t="s">
        <v>366</v>
      </c>
      <c r="L87" t="s">
        <v>87</v>
      </c>
      <c r="M87" t="s">
        <v>399</v>
      </c>
      <c r="R87" t="s">
        <v>279</v>
      </c>
      <c r="S87" t="s">
        <v>246</v>
      </c>
      <c r="T87" t="s">
        <v>258</v>
      </c>
      <c r="U87" t="s">
        <v>281</v>
      </c>
      <c r="W87" s="1">
        <v>2.4000000000000001E-4</v>
      </c>
      <c r="X87" t="s">
        <v>237</v>
      </c>
      <c r="AA87">
        <f t="shared" si="7"/>
        <v>2.8499999999999996</v>
      </c>
      <c r="AB87">
        <v>37</v>
      </c>
      <c r="AD87" t="s">
        <v>245</v>
      </c>
    </row>
    <row r="88" spans="1:30" x14ac:dyDescent="0.35">
      <c r="A88" t="s">
        <v>306</v>
      </c>
      <c r="B88" t="s">
        <v>307</v>
      </c>
      <c r="C88" t="s">
        <v>310</v>
      </c>
      <c r="D88" t="s">
        <v>22</v>
      </c>
      <c r="E88" t="s">
        <v>19</v>
      </c>
      <c r="F88" t="s">
        <v>311</v>
      </c>
      <c r="G88" t="s">
        <v>365</v>
      </c>
      <c r="H88" t="s">
        <v>403</v>
      </c>
      <c r="I88" t="s">
        <v>376</v>
      </c>
      <c r="K88" t="s">
        <v>406</v>
      </c>
      <c r="L88" t="s">
        <v>406</v>
      </c>
      <c r="M88" t="s">
        <v>406</v>
      </c>
      <c r="R88" t="s">
        <v>279</v>
      </c>
      <c r="S88" t="s">
        <v>268</v>
      </c>
      <c r="T88" t="s">
        <v>258</v>
      </c>
      <c r="U88" t="s">
        <v>281</v>
      </c>
      <c r="W88" s="1">
        <f>[9]Tabelle1!$D$4</f>
        <v>3.3212766433333334E-4</v>
      </c>
      <c r="X88" t="s">
        <v>237</v>
      </c>
      <c r="AA88">
        <f>+AVERAGE(4,8)</f>
        <v>6</v>
      </c>
      <c r="AB88" s="3">
        <f>[10]Tabelle1!$C$4</f>
        <v>12.389642523333334</v>
      </c>
      <c r="AD88" t="s">
        <v>223</v>
      </c>
    </row>
    <row r="89" spans="1:30" x14ac:dyDescent="0.35">
      <c r="A89" t="s">
        <v>306</v>
      </c>
      <c r="B89" t="s">
        <v>308</v>
      </c>
      <c r="C89" t="s">
        <v>28</v>
      </c>
      <c r="D89" t="s">
        <v>22</v>
      </c>
      <c r="E89" t="s">
        <v>19</v>
      </c>
      <c r="F89" t="s">
        <v>311</v>
      </c>
      <c r="G89" t="s">
        <v>365</v>
      </c>
      <c r="H89" t="s">
        <v>403</v>
      </c>
      <c r="I89" t="s">
        <v>376</v>
      </c>
      <c r="K89" t="s">
        <v>406</v>
      </c>
      <c r="L89" t="s">
        <v>406</v>
      </c>
      <c r="M89" t="s">
        <v>406</v>
      </c>
      <c r="R89" t="s">
        <v>279</v>
      </c>
      <c r="S89" t="s">
        <v>268</v>
      </c>
      <c r="T89" t="s">
        <v>258</v>
      </c>
      <c r="U89" t="s">
        <v>281</v>
      </c>
      <c r="W89" s="1">
        <f>[9]Tabelle1!$D$7</f>
        <v>3.4841495966666668E-4</v>
      </c>
      <c r="X89" t="s">
        <v>237</v>
      </c>
      <c r="AA89">
        <f t="shared" ref="AA89:AA90" si="8">+AVERAGE(4,8)</f>
        <v>6</v>
      </c>
      <c r="AB89" s="3">
        <f>[10]Tabelle1!$C$7</f>
        <v>13.248525726666665</v>
      </c>
      <c r="AD89" t="s">
        <v>223</v>
      </c>
    </row>
    <row r="90" spans="1:30" x14ac:dyDescent="0.35">
      <c r="A90" t="s">
        <v>306</v>
      </c>
      <c r="B90" t="s">
        <v>309</v>
      </c>
      <c r="C90" t="s">
        <v>28</v>
      </c>
      <c r="D90" t="s">
        <v>22</v>
      </c>
      <c r="E90" t="s">
        <v>19</v>
      </c>
      <c r="F90" t="s">
        <v>311</v>
      </c>
      <c r="G90" t="s">
        <v>365</v>
      </c>
      <c r="H90" t="s">
        <v>403</v>
      </c>
      <c r="I90" t="s">
        <v>376</v>
      </c>
      <c r="K90" t="s">
        <v>406</v>
      </c>
      <c r="L90" t="s">
        <v>406</v>
      </c>
      <c r="M90" t="s">
        <v>406</v>
      </c>
      <c r="R90" t="s">
        <v>279</v>
      </c>
      <c r="S90" t="s">
        <v>268</v>
      </c>
      <c r="T90" t="s">
        <v>258</v>
      </c>
      <c r="U90" t="s">
        <v>281</v>
      </c>
      <c r="W90" s="1">
        <f>[9]Tabelle1!$D$10</f>
        <v>2.8915505700000002E-4</v>
      </c>
      <c r="X90" t="s">
        <v>237</v>
      </c>
      <c r="AA90">
        <f t="shared" si="8"/>
        <v>6</v>
      </c>
      <c r="AB90" s="3">
        <f>[10]Tabelle1!$C$10</f>
        <v>12.160567703333333</v>
      </c>
      <c r="AD90" t="s">
        <v>223</v>
      </c>
    </row>
    <row r="91" spans="1:30" x14ac:dyDescent="0.35">
      <c r="A91" t="s">
        <v>97</v>
      </c>
      <c r="B91" t="s">
        <v>98</v>
      </c>
      <c r="C91" t="s">
        <v>102</v>
      </c>
      <c r="D91" t="s">
        <v>81</v>
      </c>
      <c r="E91" t="s">
        <v>19</v>
      </c>
      <c r="F91" t="s">
        <v>82</v>
      </c>
      <c r="G91" t="s">
        <v>82</v>
      </c>
      <c r="H91" t="s">
        <v>82</v>
      </c>
      <c r="I91" t="s">
        <v>378</v>
      </c>
      <c r="J91">
        <v>14</v>
      </c>
      <c r="K91" t="s">
        <v>406</v>
      </c>
      <c r="L91" t="s">
        <v>406</v>
      </c>
      <c r="M91" t="s">
        <v>406</v>
      </c>
      <c r="R91" t="s">
        <v>279</v>
      </c>
      <c r="S91" t="s">
        <v>251</v>
      </c>
      <c r="T91" t="s">
        <v>216</v>
      </c>
      <c r="U91" t="s">
        <v>281</v>
      </c>
      <c r="V91" s="1">
        <f>[11]Bramley_etal_2009_Fig3b!$F$15</f>
        <v>7.9898862199747092E-12</v>
      </c>
      <c r="W91" s="1"/>
      <c r="X91" t="s">
        <v>234</v>
      </c>
      <c r="AD91" t="s">
        <v>213</v>
      </c>
    </row>
    <row r="92" spans="1:30" x14ac:dyDescent="0.35">
      <c r="A92" t="s">
        <v>97</v>
      </c>
      <c r="B92" t="s">
        <v>99</v>
      </c>
      <c r="C92" t="s">
        <v>100</v>
      </c>
      <c r="D92" t="s">
        <v>29</v>
      </c>
      <c r="E92" t="s">
        <v>19</v>
      </c>
      <c r="F92" t="s">
        <v>362</v>
      </c>
      <c r="G92" t="s">
        <v>362</v>
      </c>
      <c r="H92" t="s">
        <v>408</v>
      </c>
      <c r="I92" t="s">
        <v>411</v>
      </c>
      <c r="J92">
        <v>14</v>
      </c>
      <c r="K92" t="s">
        <v>406</v>
      </c>
      <c r="L92" t="s">
        <v>406</v>
      </c>
      <c r="M92" t="s">
        <v>406</v>
      </c>
      <c r="R92" t="s">
        <v>279</v>
      </c>
      <c r="S92" t="s">
        <v>217</v>
      </c>
      <c r="T92" t="s">
        <v>216</v>
      </c>
      <c r="U92" t="s">
        <v>281</v>
      </c>
      <c r="V92" s="1">
        <f>[11]Bramley_etal_2009_Fig3b!$F$29</f>
        <v>2.56215760640539E-11</v>
      </c>
      <c r="W92" s="1"/>
      <c r="X92" t="s">
        <v>234</v>
      </c>
      <c r="AD92" t="s">
        <v>213</v>
      </c>
    </row>
    <row r="93" spans="1:30" x14ac:dyDescent="0.35">
      <c r="A93" t="s">
        <v>97</v>
      </c>
      <c r="B93" t="s">
        <v>101</v>
      </c>
      <c r="C93" t="s">
        <v>100</v>
      </c>
      <c r="D93" t="s">
        <v>29</v>
      </c>
      <c r="E93" t="s">
        <v>19</v>
      </c>
      <c r="F93" t="s">
        <v>362</v>
      </c>
      <c r="G93" t="s">
        <v>362</v>
      </c>
      <c r="H93" t="s">
        <v>408</v>
      </c>
      <c r="I93" t="s">
        <v>411</v>
      </c>
      <c r="J93">
        <v>14</v>
      </c>
      <c r="K93" t="s">
        <v>406</v>
      </c>
      <c r="L93" t="s">
        <v>406</v>
      </c>
      <c r="M93" t="s">
        <v>406</v>
      </c>
      <c r="R93" t="s">
        <v>279</v>
      </c>
      <c r="S93" t="s">
        <v>217</v>
      </c>
      <c r="T93" t="s">
        <v>216</v>
      </c>
      <c r="U93" t="s">
        <v>281</v>
      </c>
      <c r="V93" s="1">
        <f>[11]Bramley_etal_2009_Fig3b!$F$44</f>
        <v>3.681415929203535E-11</v>
      </c>
      <c r="W93" s="1"/>
      <c r="X93" t="s">
        <v>234</v>
      </c>
      <c r="AD93" t="s">
        <v>213</v>
      </c>
    </row>
    <row r="94" spans="1:30" x14ac:dyDescent="0.35">
      <c r="A94" t="s">
        <v>342</v>
      </c>
      <c r="B94" t="s">
        <v>343</v>
      </c>
      <c r="C94" t="s">
        <v>110</v>
      </c>
      <c r="D94" t="s">
        <v>145</v>
      </c>
      <c r="E94" t="s">
        <v>19</v>
      </c>
      <c r="F94" t="s">
        <v>353</v>
      </c>
      <c r="G94" t="s">
        <v>74</v>
      </c>
      <c r="H94" t="s">
        <v>74</v>
      </c>
      <c r="I94" t="s">
        <v>74</v>
      </c>
      <c r="K94" t="s">
        <v>406</v>
      </c>
      <c r="L94" t="s">
        <v>406</v>
      </c>
      <c r="M94" t="s">
        <v>406</v>
      </c>
      <c r="R94" t="s">
        <v>279</v>
      </c>
      <c r="S94" t="s">
        <v>373</v>
      </c>
      <c r="T94" t="s">
        <v>258</v>
      </c>
      <c r="U94" t="s">
        <v>281</v>
      </c>
      <c r="W94" s="1">
        <f>[12]XFT_full_database!$J$1355*0.001</f>
        <v>1.5200000000000001E-3</v>
      </c>
      <c r="X94" s="1" t="s">
        <v>237</v>
      </c>
      <c r="AD94" t="s">
        <v>355</v>
      </c>
    </row>
    <row r="95" spans="1:30" x14ac:dyDescent="0.35">
      <c r="A95" t="s">
        <v>342</v>
      </c>
      <c r="B95" t="s">
        <v>135</v>
      </c>
      <c r="C95" t="s">
        <v>110</v>
      </c>
      <c r="D95" t="s">
        <v>145</v>
      </c>
      <c r="E95" t="s">
        <v>19</v>
      </c>
      <c r="F95" t="s">
        <v>23</v>
      </c>
      <c r="G95" t="s">
        <v>365</v>
      </c>
      <c r="H95" t="s">
        <v>403</v>
      </c>
      <c r="I95" t="s">
        <v>376</v>
      </c>
      <c r="K95" t="s">
        <v>406</v>
      </c>
      <c r="L95" t="s">
        <v>406</v>
      </c>
      <c r="M95" t="s">
        <v>406</v>
      </c>
      <c r="R95" t="s">
        <v>279</v>
      </c>
      <c r="S95" t="s">
        <v>373</v>
      </c>
      <c r="T95" t="s">
        <v>258</v>
      </c>
      <c r="U95" t="s">
        <v>281</v>
      </c>
      <c r="W95" s="1">
        <f>[12]XFT_full_database!$J$1538*0.001</f>
        <v>3.9100000000000003E-3</v>
      </c>
      <c r="X95" t="s">
        <v>237</v>
      </c>
      <c r="AD95" t="s">
        <v>355</v>
      </c>
    </row>
    <row r="96" spans="1:30" x14ac:dyDescent="0.35">
      <c r="A96" t="s">
        <v>342</v>
      </c>
      <c r="B96" t="s">
        <v>344</v>
      </c>
      <c r="C96" t="s">
        <v>110</v>
      </c>
      <c r="D96" t="s">
        <v>145</v>
      </c>
      <c r="E96" t="s">
        <v>19</v>
      </c>
      <c r="F96" t="s">
        <v>23</v>
      </c>
      <c r="G96" t="s">
        <v>365</v>
      </c>
      <c r="H96" t="s">
        <v>403</v>
      </c>
      <c r="I96" t="s">
        <v>376</v>
      </c>
      <c r="K96" t="s">
        <v>406</v>
      </c>
      <c r="L96" t="s">
        <v>406</v>
      </c>
      <c r="M96" t="s">
        <v>406</v>
      </c>
      <c r="R96" t="s">
        <v>279</v>
      </c>
      <c r="S96" t="s">
        <v>373</v>
      </c>
      <c r="T96" t="s">
        <v>258</v>
      </c>
      <c r="U96" t="s">
        <v>281</v>
      </c>
      <c r="W96" s="1">
        <f>[12]XFT_full_database!$J$1904*0.001</f>
        <v>3.48E-3</v>
      </c>
      <c r="X96" t="s">
        <v>237</v>
      </c>
      <c r="AD96" t="s">
        <v>355</v>
      </c>
    </row>
    <row r="97" spans="1:30" x14ac:dyDescent="0.35">
      <c r="A97" t="s">
        <v>342</v>
      </c>
      <c r="B97" t="s">
        <v>345</v>
      </c>
      <c r="C97" t="s">
        <v>110</v>
      </c>
      <c r="D97" t="s">
        <v>145</v>
      </c>
      <c r="E97" t="s">
        <v>19</v>
      </c>
      <c r="F97" t="s">
        <v>353</v>
      </c>
      <c r="G97" t="s">
        <v>74</v>
      </c>
      <c r="H97" t="s">
        <v>74</v>
      </c>
      <c r="I97" t="s">
        <v>74</v>
      </c>
      <c r="K97" t="s">
        <v>406</v>
      </c>
      <c r="L97" t="s">
        <v>406</v>
      </c>
      <c r="M97" t="s">
        <v>406</v>
      </c>
      <c r="R97" t="s">
        <v>279</v>
      </c>
      <c r="S97" t="s">
        <v>373</v>
      </c>
      <c r="T97" t="s">
        <v>258</v>
      </c>
      <c r="U97" t="s">
        <v>281</v>
      </c>
      <c r="W97" s="1">
        <f>[12]XFT_full_database!$J$1906*0.001</f>
        <v>2.2300000000000002E-3</v>
      </c>
      <c r="X97" t="s">
        <v>237</v>
      </c>
      <c r="AD97" t="s">
        <v>355</v>
      </c>
    </row>
    <row r="98" spans="1:30" x14ac:dyDescent="0.35">
      <c r="A98" t="s">
        <v>342</v>
      </c>
      <c r="B98" t="s">
        <v>346</v>
      </c>
      <c r="C98" t="s">
        <v>110</v>
      </c>
      <c r="D98" t="s">
        <v>145</v>
      </c>
      <c r="E98" t="s">
        <v>19</v>
      </c>
      <c r="F98" t="s">
        <v>23</v>
      </c>
      <c r="G98" t="s">
        <v>365</v>
      </c>
      <c r="H98" t="s">
        <v>403</v>
      </c>
      <c r="I98" t="s">
        <v>376</v>
      </c>
      <c r="K98" t="s">
        <v>406</v>
      </c>
      <c r="L98" t="s">
        <v>406</v>
      </c>
      <c r="M98" t="s">
        <v>406</v>
      </c>
      <c r="R98" t="s">
        <v>279</v>
      </c>
      <c r="S98" t="s">
        <v>373</v>
      </c>
      <c r="T98" t="s">
        <v>258</v>
      </c>
      <c r="U98" t="s">
        <v>281</v>
      </c>
      <c r="W98" s="1">
        <f>[12]XFT_full_database!$J$1910*0.001</f>
        <v>3.98E-3</v>
      </c>
      <c r="X98" t="s">
        <v>237</v>
      </c>
      <c r="AD98" t="s">
        <v>355</v>
      </c>
    </row>
    <row r="99" spans="1:30" x14ac:dyDescent="0.35">
      <c r="A99" t="s">
        <v>342</v>
      </c>
      <c r="B99" t="s">
        <v>347</v>
      </c>
      <c r="C99" t="s">
        <v>110</v>
      </c>
      <c r="D99" t="s">
        <v>145</v>
      </c>
      <c r="E99" t="s">
        <v>19</v>
      </c>
      <c r="F99" t="s">
        <v>23</v>
      </c>
      <c r="G99" t="s">
        <v>365</v>
      </c>
      <c r="H99" t="s">
        <v>403</v>
      </c>
      <c r="I99" t="s">
        <v>376</v>
      </c>
      <c r="K99" t="s">
        <v>406</v>
      </c>
      <c r="L99" t="s">
        <v>406</v>
      </c>
      <c r="M99" t="s">
        <v>406</v>
      </c>
      <c r="R99" t="s">
        <v>279</v>
      </c>
      <c r="S99" t="s">
        <v>373</v>
      </c>
      <c r="T99" t="s">
        <v>258</v>
      </c>
      <c r="U99" t="s">
        <v>281</v>
      </c>
      <c r="W99" s="1">
        <f>[12]XFT_full_database!J1918*0.001</f>
        <v>2.0099999999999996E-3</v>
      </c>
      <c r="X99" t="s">
        <v>237</v>
      </c>
      <c r="AD99" t="s">
        <v>355</v>
      </c>
    </row>
    <row r="100" spans="1:30" x14ac:dyDescent="0.35">
      <c r="A100" t="s">
        <v>342</v>
      </c>
      <c r="B100" t="s">
        <v>348</v>
      </c>
      <c r="C100" t="s">
        <v>110</v>
      </c>
      <c r="D100" t="s">
        <v>145</v>
      </c>
      <c r="E100" t="s">
        <v>19</v>
      </c>
      <c r="F100" t="s">
        <v>23</v>
      </c>
      <c r="G100" t="s">
        <v>365</v>
      </c>
      <c r="H100" t="s">
        <v>403</v>
      </c>
      <c r="I100" t="s">
        <v>376</v>
      </c>
      <c r="K100" t="s">
        <v>406</v>
      </c>
      <c r="L100" t="s">
        <v>406</v>
      </c>
      <c r="M100" t="s">
        <v>406</v>
      </c>
      <c r="R100" t="s">
        <v>279</v>
      </c>
      <c r="S100" t="s">
        <v>373</v>
      </c>
      <c r="T100" t="s">
        <v>258</v>
      </c>
      <c r="U100" t="s">
        <v>281</v>
      </c>
      <c r="W100" s="1">
        <f>[12]XFT_full_database!J1919*0.001</f>
        <v>4.8399999999999997E-3</v>
      </c>
      <c r="X100" t="s">
        <v>237</v>
      </c>
      <c r="AD100" t="s">
        <v>355</v>
      </c>
    </row>
    <row r="101" spans="1:30" x14ac:dyDescent="0.35">
      <c r="A101" t="s">
        <v>342</v>
      </c>
      <c r="B101" t="s">
        <v>349</v>
      </c>
      <c r="C101" t="s">
        <v>110</v>
      </c>
      <c r="D101" t="s">
        <v>145</v>
      </c>
      <c r="E101" t="s">
        <v>19</v>
      </c>
      <c r="F101" t="s">
        <v>23</v>
      </c>
      <c r="G101" t="s">
        <v>365</v>
      </c>
      <c r="H101" t="s">
        <v>403</v>
      </c>
      <c r="I101" t="s">
        <v>376</v>
      </c>
      <c r="K101" t="s">
        <v>406</v>
      </c>
      <c r="L101" t="s">
        <v>406</v>
      </c>
      <c r="M101" t="s">
        <v>406</v>
      </c>
      <c r="R101" t="s">
        <v>279</v>
      </c>
      <c r="S101" t="s">
        <v>373</v>
      </c>
      <c r="T101" t="s">
        <v>258</v>
      </c>
      <c r="U101" t="s">
        <v>281</v>
      </c>
      <c r="W101" s="1">
        <f>[12]XFT_full_database!J1952*0.001</f>
        <v>3.8900000000000002E-3</v>
      </c>
      <c r="X101" t="s">
        <v>237</v>
      </c>
      <c r="AD101" t="s">
        <v>355</v>
      </c>
    </row>
    <row r="102" spans="1:30" x14ac:dyDescent="0.35">
      <c r="A102" t="s">
        <v>342</v>
      </c>
      <c r="B102" t="s">
        <v>350</v>
      </c>
      <c r="C102" t="s">
        <v>110</v>
      </c>
      <c r="D102" t="s">
        <v>145</v>
      </c>
      <c r="E102" t="s">
        <v>19</v>
      </c>
      <c r="F102" t="s">
        <v>23</v>
      </c>
      <c r="G102" t="s">
        <v>365</v>
      </c>
      <c r="H102" t="s">
        <v>403</v>
      </c>
      <c r="I102" t="s">
        <v>376</v>
      </c>
      <c r="K102" t="s">
        <v>406</v>
      </c>
      <c r="L102" t="s">
        <v>406</v>
      </c>
      <c r="M102" t="s">
        <v>406</v>
      </c>
      <c r="R102" t="s">
        <v>279</v>
      </c>
      <c r="S102" t="s">
        <v>373</v>
      </c>
      <c r="T102" t="s">
        <v>258</v>
      </c>
      <c r="U102" t="s">
        <v>281</v>
      </c>
      <c r="W102" s="1">
        <f>[12]XFT_full_database!J1953*0.001</f>
        <v>2.9500000000000004E-3</v>
      </c>
      <c r="X102" t="s">
        <v>237</v>
      </c>
      <c r="AD102" t="s">
        <v>355</v>
      </c>
    </row>
    <row r="103" spans="1:30" x14ac:dyDescent="0.35">
      <c r="A103" t="s">
        <v>342</v>
      </c>
      <c r="B103" t="s">
        <v>322</v>
      </c>
      <c r="C103" t="s">
        <v>110</v>
      </c>
      <c r="D103" t="s">
        <v>145</v>
      </c>
      <c r="E103" t="s">
        <v>19</v>
      </c>
      <c r="F103" t="s">
        <v>353</v>
      </c>
      <c r="G103" t="s">
        <v>74</v>
      </c>
      <c r="H103" t="s">
        <v>74</v>
      </c>
      <c r="I103" t="s">
        <v>74</v>
      </c>
      <c r="K103" t="s">
        <v>406</v>
      </c>
      <c r="L103" t="s">
        <v>406</v>
      </c>
      <c r="M103" t="s">
        <v>406</v>
      </c>
      <c r="R103" t="s">
        <v>279</v>
      </c>
      <c r="S103" t="s">
        <v>373</v>
      </c>
      <c r="T103" t="s">
        <v>258</v>
      </c>
      <c r="U103" t="s">
        <v>281</v>
      </c>
      <c r="W103" s="1">
        <f>[12]XFT_full_database!J1954*0.001</f>
        <v>3.0499999999999998E-3</v>
      </c>
      <c r="X103" t="s">
        <v>237</v>
      </c>
      <c r="AD103" t="s">
        <v>355</v>
      </c>
    </row>
    <row r="104" spans="1:30" x14ac:dyDescent="0.35">
      <c r="A104" t="s">
        <v>342</v>
      </c>
      <c r="B104" t="s">
        <v>351</v>
      </c>
      <c r="C104" t="s">
        <v>110</v>
      </c>
      <c r="D104" t="s">
        <v>145</v>
      </c>
      <c r="E104" t="s">
        <v>19</v>
      </c>
      <c r="F104" t="s">
        <v>353</v>
      </c>
      <c r="G104" t="s">
        <v>74</v>
      </c>
      <c r="H104" t="s">
        <v>74</v>
      </c>
      <c r="I104" t="s">
        <v>74</v>
      </c>
      <c r="K104" t="s">
        <v>406</v>
      </c>
      <c r="L104" t="s">
        <v>406</v>
      </c>
      <c r="M104" t="s">
        <v>406</v>
      </c>
      <c r="R104" t="s">
        <v>279</v>
      </c>
      <c r="S104" t="s">
        <v>373</v>
      </c>
      <c r="T104" t="s">
        <v>258</v>
      </c>
      <c r="U104" t="s">
        <v>281</v>
      </c>
      <c r="W104" s="1">
        <f>[12]XFT_full_database!J1955*0.001</f>
        <v>2.6700000000000001E-3</v>
      </c>
      <c r="X104" t="s">
        <v>237</v>
      </c>
      <c r="AD104" t="s">
        <v>355</v>
      </c>
    </row>
    <row r="105" spans="1:30" x14ac:dyDescent="0.35">
      <c r="A105" t="s">
        <v>342</v>
      </c>
      <c r="B105" t="s">
        <v>352</v>
      </c>
      <c r="C105" t="s">
        <v>110</v>
      </c>
      <c r="D105" t="s">
        <v>145</v>
      </c>
      <c r="E105" t="s">
        <v>19</v>
      </c>
      <c r="F105" t="s">
        <v>23</v>
      </c>
      <c r="G105" t="s">
        <v>365</v>
      </c>
      <c r="H105" t="s">
        <v>403</v>
      </c>
      <c r="I105" t="s">
        <v>376</v>
      </c>
      <c r="K105" t="s">
        <v>406</v>
      </c>
      <c r="L105" t="s">
        <v>406</v>
      </c>
      <c r="M105" t="s">
        <v>406</v>
      </c>
      <c r="R105" t="s">
        <v>279</v>
      </c>
      <c r="S105" t="s">
        <v>373</v>
      </c>
      <c r="T105" t="s">
        <v>258</v>
      </c>
      <c r="U105" t="s">
        <v>281</v>
      </c>
      <c r="W105" s="1">
        <f>[12]XFT_full_database!J1956*0.001</f>
        <v>2.0600000000000002E-3</v>
      </c>
      <c r="X105" t="s">
        <v>237</v>
      </c>
      <c r="AD105" t="s">
        <v>355</v>
      </c>
    </row>
    <row r="106" spans="1:30" x14ac:dyDescent="0.35">
      <c r="A106" t="s">
        <v>342</v>
      </c>
      <c r="B106" t="s">
        <v>120</v>
      </c>
      <c r="C106" t="s">
        <v>110</v>
      </c>
      <c r="D106" t="s">
        <v>145</v>
      </c>
      <c r="E106" t="s">
        <v>19</v>
      </c>
      <c r="F106" t="s">
        <v>23</v>
      </c>
      <c r="G106" t="s">
        <v>365</v>
      </c>
      <c r="H106" t="s">
        <v>403</v>
      </c>
      <c r="I106" t="s">
        <v>376</v>
      </c>
      <c r="K106" t="s">
        <v>406</v>
      </c>
      <c r="L106" t="s">
        <v>406</v>
      </c>
      <c r="M106" t="s">
        <v>406</v>
      </c>
      <c r="R106" t="s">
        <v>279</v>
      </c>
      <c r="S106" t="s">
        <v>373</v>
      </c>
      <c r="T106" t="s">
        <v>258</v>
      </c>
      <c r="U106" t="s">
        <v>281</v>
      </c>
      <c r="W106" s="1">
        <f>[12]XFT_full_database!J1957*0.001</f>
        <v>8.1700000000000002E-3</v>
      </c>
      <c r="X106" t="s">
        <v>237</v>
      </c>
      <c r="AD106" t="s">
        <v>355</v>
      </c>
    </row>
    <row r="107" spans="1:30" x14ac:dyDescent="0.35">
      <c r="A107" t="s">
        <v>342</v>
      </c>
      <c r="B107" t="s">
        <v>354</v>
      </c>
      <c r="C107" t="s">
        <v>110</v>
      </c>
      <c r="D107" t="s">
        <v>145</v>
      </c>
      <c r="E107" t="s">
        <v>19</v>
      </c>
      <c r="F107" t="s">
        <v>23</v>
      </c>
      <c r="G107" t="s">
        <v>365</v>
      </c>
      <c r="H107" t="s">
        <v>403</v>
      </c>
      <c r="I107" t="s">
        <v>376</v>
      </c>
      <c r="K107" t="s">
        <v>406</v>
      </c>
      <c r="L107" t="s">
        <v>406</v>
      </c>
      <c r="M107" t="s">
        <v>406</v>
      </c>
      <c r="R107" t="s">
        <v>279</v>
      </c>
      <c r="S107" t="s">
        <v>373</v>
      </c>
      <c r="T107" t="s">
        <v>258</v>
      </c>
      <c r="U107" t="s">
        <v>281</v>
      </c>
      <c r="W107" s="1">
        <f>[12]XFT_full_database!J1958*0.001</f>
        <v>1.49E-3</v>
      </c>
      <c r="X107" t="s">
        <v>237</v>
      </c>
      <c r="AD107" t="s">
        <v>355</v>
      </c>
    </row>
    <row r="108" spans="1:30" x14ac:dyDescent="0.35">
      <c r="A108" t="s">
        <v>104</v>
      </c>
      <c r="B108" t="s">
        <v>105</v>
      </c>
      <c r="C108" t="s">
        <v>89</v>
      </c>
      <c r="D108" t="s">
        <v>22</v>
      </c>
      <c r="E108" t="s">
        <v>19</v>
      </c>
      <c r="F108" t="s">
        <v>23</v>
      </c>
      <c r="G108" t="s">
        <v>365</v>
      </c>
      <c r="H108" t="s">
        <v>403</v>
      </c>
      <c r="I108" t="s">
        <v>376</v>
      </c>
      <c r="J108">
        <f>365*34</f>
        <v>12410</v>
      </c>
      <c r="K108" t="s">
        <v>103</v>
      </c>
      <c r="L108" t="s">
        <v>7</v>
      </c>
      <c r="M108" t="s">
        <v>7</v>
      </c>
      <c r="R108" t="s">
        <v>279</v>
      </c>
      <c r="S108" t="s">
        <v>220</v>
      </c>
      <c r="T108" t="s">
        <v>258</v>
      </c>
      <c r="U108" t="s">
        <v>281</v>
      </c>
      <c r="W108" s="1">
        <v>6.3E-3</v>
      </c>
      <c r="X108" t="s">
        <v>237</v>
      </c>
      <c r="AA108">
        <v>3.5</v>
      </c>
      <c r="AD108" t="s">
        <v>245</v>
      </c>
    </row>
    <row r="109" spans="1:30" x14ac:dyDescent="0.35">
      <c r="A109" t="s">
        <v>104</v>
      </c>
      <c r="B109" t="s">
        <v>105</v>
      </c>
      <c r="C109" t="s">
        <v>89</v>
      </c>
      <c r="D109" t="s">
        <v>22</v>
      </c>
      <c r="E109" t="s">
        <v>19</v>
      </c>
      <c r="F109" t="s">
        <v>23</v>
      </c>
      <c r="G109" t="s">
        <v>365</v>
      </c>
      <c r="H109" t="s">
        <v>403</v>
      </c>
      <c r="I109" t="s">
        <v>376</v>
      </c>
      <c r="J109">
        <v>12410</v>
      </c>
      <c r="K109" t="s">
        <v>103</v>
      </c>
      <c r="L109" t="s">
        <v>103</v>
      </c>
      <c r="M109" t="s">
        <v>399</v>
      </c>
      <c r="R109" t="s">
        <v>279</v>
      </c>
      <c r="S109" t="s">
        <v>220</v>
      </c>
      <c r="T109" t="s">
        <v>258</v>
      </c>
      <c r="U109" t="s">
        <v>281</v>
      </c>
      <c r="W109" s="1">
        <v>7.3000000000000001E-3</v>
      </c>
      <c r="X109" t="s">
        <v>237</v>
      </c>
      <c r="AA109">
        <v>3.5</v>
      </c>
      <c r="AD109" t="s">
        <v>245</v>
      </c>
    </row>
    <row r="110" spans="1:30" x14ac:dyDescent="0.35">
      <c r="A110" t="s">
        <v>340</v>
      </c>
      <c r="B110" t="s">
        <v>333</v>
      </c>
      <c r="C110" t="s">
        <v>73</v>
      </c>
      <c r="D110" t="s">
        <v>76</v>
      </c>
      <c r="E110" t="s">
        <v>19</v>
      </c>
      <c r="F110" s="4" t="s">
        <v>75</v>
      </c>
      <c r="G110" t="s">
        <v>74</v>
      </c>
      <c r="H110" t="s">
        <v>74</v>
      </c>
      <c r="I110" t="s">
        <v>74</v>
      </c>
      <c r="K110" t="s">
        <v>406</v>
      </c>
      <c r="L110" t="s">
        <v>406</v>
      </c>
      <c r="M110" t="s">
        <v>406</v>
      </c>
      <c r="R110" t="s">
        <v>279</v>
      </c>
      <c r="S110" t="s">
        <v>341</v>
      </c>
      <c r="T110" t="s">
        <v>258</v>
      </c>
      <c r="U110" t="s">
        <v>281</v>
      </c>
      <c r="W110" s="1">
        <f>[12]XFT_full_database!J1052*0.001</f>
        <v>4.3000000000000003E-2</v>
      </c>
      <c r="X110" s="1" t="s">
        <v>237</v>
      </c>
      <c r="AA110">
        <f>+AVERAGE(7,8)</f>
        <v>7.5</v>
      </c>
      <c r="AB110" s="3">
        <f>[12]XFT_full_database!I1293</f>
        <v>42.177</v>
      </c>
      <c r="AD110" t="s">
        <v>223</v>
      </c>
    </row>
    <row r="111" spans="1:30" x14ac:dyDescent="0.35">
      <c r="A111" t="s">
        <v>340</v>
      </c>
      <c r="B111" t="s">
        <v>334</v>
      </c>
      <c r="C111" t="s">
        <v>73</v>
      </c>
      <c r="D111" t="s">
        <v>76</v>
      </c>
      <c r="E111" t="s">
        <v>19</v>
      </c>
      <c r="F111" s="4" t="s">
        <v>75</v>
      </c>
      <c r="G111" t="s">
        <v>74</v>
      </c>
      <c r="H111" t="s">
        <v>74</v>
      </c>
      <c r="I111" t="s">
        <v>74</v>
      </c>
      <c r="K111" t="s">
        <v>406</v>
      </c>
      <c r="L111" t="s">
        <v>406</v>
      </c>
      <c r="M111" t="s">
        <v>406</v>
      </c>
      <c r="R111" t="s">
        <v>279</v>
      </c>
      <c r="S111" t="s">
        <v>341</v>
      </c>
      <c r="T111" t="s">
        <v>258</v>
      </c>
      <c r="U111" t="s">
        <v>281</v>
      </c>
      <c r="W111" s="1">
        <f>[12]XFT_full_database!J1293*0.001</f>
        <v>6.2E-4</v>
      </c>
      <c r="X111" t="s">
        <v>237</v>
      </c>
      <c r="AA111">
        <f t="shared" ref="AA111:AA118" si="9">+AVERAGE(7,8)</f>
        <v>7.5</v>
      </c>
      <c r="AB111" s="3">
        <f>[12]XFT_full_database!I1294</f>
        <v>38.776000000000003</v>
      </c>
      <c r="AD111" t="s">
        <v>223</v>
      </c>
    </row>
    <row r="112" spans="1:30" x14ac:dyDescent="0.35">
      <c r="A112" t="s">
        <v>340</v>
      </c>
      <c r="B112" t="s">
        <v>335</v>
      </c>
      <c r="C112" t="s">
        <v>73</v>
      </c>
      <c r="D112" t="s">
        <v>76</v>
      </c>
      <c r="E112" t="s">
        <v>19</v>
      </c>
      <c r="F112" s="4" t="s">
        <v>75</v>
      </c>
      <c r="G112" t="s">
        <v>74</v>
      </c>
      <c r="H112" t="s">
        <v>74</v>
      </c>
      <c r="I112" t="s">
        <v>74</v>
      </c>
      <c r="K112" t="s">
        <v>406</v>
      </c>
      <c r="L112" t="s">
        <v>406</v>
      </c>
      <c r="M112" t="s">
        <v>406</v>
      </c>
      <c r="R112" t="s">
        <v>279</v>
      </c>
      <c r="S112" t="s">
        <v>341</v>
      </c>
      <c r="T112" t="s">
        <v>258</v>
      </c>
      <c r="U112" t="s">
        <v>281</v>
      </c>
      <c r="W112" s="1">
        <f>[12]XFT_full_database!J1294*0.001</f>
        <v>4.2400000000000007E-3</v>
      </c>
      <c r="X112" t="s">
        <v>237</v>
      </c>
      <c r="AA112">
        <f t="shared" si="9"/>
        <v>7.5</v>
      </c>
      <c r="AB112" s="3">
        <f>[12]XFT_full_database!I1298</f>
        <v>47.591999999999999</v>
      </c>
      <c r="AD112" t="s">
        <v>223</v>
      </c>
    </row>
    <row r="113" spans="1:30" x14ac:dyDescent="0.35">
      <c r="A113" t="s">
        <v>340</v>
      </c>
      <c r="B113" t="s">
        <v>336</v>
      </c>
      <c r="C113" t="s">
        <v>73</v>
      </c>
      <c r="D113" t="s">
        <v>76</v>
      </c>
      <c r="E113" t="s">
        <v>19</v>
      </c>
      <c r="F113" s="4" t="s">
        <v>75</v>
      </c>
      <c r="G113" t="s">
        <v>74</v>
      </c>
      <c r="H113" t="s">
        <v>74</v>
      </c>
      <c r="I113" t="s">
        <v>74</v>
      </c>
      <c r="K113" t="s">
        <v>406</v>
      </c>
      <c r="L113" t="s">
        <v>406</v>
      </c>
      <c r="M113" t="s">
        <v>406</v>
      </c>
      <c r="R113" t="s">
        <v>279</v>
      </c>
      <c r="S113" t="s">
        <v>341</v>
      </c>
      <c r="T113" t="s">
        <v>258</v>
      </c>
      <c r="U113" t="s">
        <v>281</v>
      </c>
      <c r="W113" s="1">
        <f>[12]XFT_full_database!J1298*0.001</f>
        <v>1.353E-2</v>
      </c>
      <c r="X113" t="s">
        <v>237</v>
      </c>
      <c r="AA113">
        <f t="shared" si="9"/>
        <v>7.5</v>
      </c>
      <c r="AB113" s="3">
        <f>[12]XFT_full_database!I1299</f>
        <v>43.094000000000001</v>
      </c>
      <c r="AD113" t="s">
        <v>223</v>
      </c>
    </row>
    <row r="114" spans="1:30" x14ac:dyDescent="0.35">
      <c r="A114" t="s">
        <v>340</v>
      </c>
      <c r="B114" t="s">
        <v>337</v>
      </c>
      <c r="C114" t="s">
        <v>73</v>
      </c>
      <c r="D114" t="s">
        <v>76</v>
      </c>
      <c r="E114" t="s">
        <v>19</v>
      </c>
      <c r="F114" s="4" t="s">
        <v>75</v>
      </c>
      <c r="G114" t="s">
        <v>74</v>
      </c>
      <c r="H114" t="s">
        <v>74</v>
      </c>
      <c r="I114" t="s">
        <v>74</v>
      </c>
      <c r="K114" t="s">
        <v>406</v>
      </c>
      <c r="L114" t="s">
        <v>406</v>
      </c>
      <c r="M114" t="s">
        <v>406</v>
      </c>
      <c r="R114" t="s">
        <v>279</v>
      </c>
      <c r="S114" t="s">
        <v>341</v>
      </c>
      <c r="T114" t="s">
        <v>258</v>
      </c>
      <c r="U114" t="s">
        <v>281</v>
      </c>
      <c r="W114" s="1">
        <f>[12]XFT_full_database!J1299*0.001</f>
        <v>7.45E-3</v>
      </c>
      <c r="X114" t="s">
        <v>237</v>
      </c>
      <c r="AA114">
        <f t="shared" si="9"/>
        <v>7.5</v>
      </c>
      <c r="AB114" s="3">
        <f>[12]XFT_full_database!I1300</f>
        <v>49.05</v>
      </c>
      <c r="AD114" t="s">
        <v>223</v>
      </c>
    </row>
    <row r="115" spans="1:30" x14ac:dyDescent="0.35">
      <c r="A115" t="s">
        <v>340</v>
      </c>
      <c r="B115" t="s">
        <v>69</v>
      </c>
      <c r="C115" t="s">
        <v>73</v>
      </c>
      <c r="D115" t="s">
        <v>76</v>
      </c>
      <c r="E115" t="s">
        <v>19</v>
      </c>
      <c r="F115" s="4" t="s">
        <v>75</v>
      </c>
      <c r="G115" t="s">
        <v>74</v>
      </c>
      <c r="H115" t="s">
        <v>74</v>
      </c>
      <c r="I115" t="s">
        <v>74</v>
      </c>
      <c r="K115" t="s">
        <v>406</v>
      </c>
      <c r="L115" t="s">
        <v>406</v>
      </c>
      <c r="M115" t="s">
        <v>406</v>
      </c>
      <c r="R115" t="s">
        <v>279</v>
      </c>
      <c r="S115" t="s">
        <v>341</v>
      </c>
      <c r="T115" t="s">
        <v>258</v>
      </c>
      <c r="U115" t="s">
        <v>281</v>
      </c>
      <c r="W115" s="1">
        <f>[12]XFT_full_database!J1300*0.001</f>
        <v>8.1099999999999992E-3</v>
      </c>
      <c r="X115" t="s">
        <v>237</v>
      </c>
      <c r="AA115">
        <f t="shared" si="9"/>
        <v>7.5</v>
      </c>
      <c r="AB115" s="3">
        <f>[12]XFT_full_database!I1304</f>
        <v>43.930999999999997</v>
      </c>
      <c r="AD115" t="s">
        <v>223</v>
      </c>
    </row>
    <row r="116" spans="1:30" x14ac:dyDescent="0.35">
      <c r="A116" t="s">
        <v>340</v>
      </c>
      <c r="B116" t="s">
        <v>70</v>
      </c>
      <c r="C116" t="s">
        <v>77</v>
      </c>
      <c r="D116" t="s">
        <v>76</v>
      </c>
      <c r="E116" t="s">
        <v>19</v>
      </c>
      <c r="F116" s="4" t="s">
        <v>75</v>
      </c>
      <c r="G116" t="s">
        <v>74</v>
      </c>
      <c r="H116" t="s">
        <v>74</v>
      </c>
      <c r="I116" t="s">
        <v>74</v>
      </c>
      <c r="K116" t="s">
        <v>406</v>
      </c>
      <c r="L116" t="s">
        <v>406</v>
      </c>
      <c r="M116" t="s">
        <v>406</v>
      </c>
      <c r="R116" t="s">
        <v>279</v>
      </c>
      <c r="S116" t="s">
        <v>341</v>
      </c>
      <c r="T116" t="s">
        <v>258</v>
      </c>
      <c r="U116" t="s">
        <v>281</v>
      </c>
      <c r="W116" s="1">
        <f>[12]XFT_full_database!J1304*0.001</f>
        <v>2.4190000000000001E-3</v>
      </c>
      <c r="X116" t="s">
        <v>237</v>
      </c>
      <c r="AA116">
        <f t="shared" si="9"/>
        <v>7.5</v>
      </c>
      <c r="AB116" s="3">
        <f>[12]XFT_full_database!I1305</f>
        <v>64.569000000000003</v>
      </c>
      <c r="AD116" t="s">
        <v>223</v>
      </c>
    </row>
    <row r="117" spans="1:30" x14ac:dyDescent="0.35">
      <c r="A117" t="s">
        <v>340</v>
      </c>
      <c r="B117" t="s">
        <v>338</v>
      </c>
      <c r="C117" t="s">
        <v>77</v>
      </c>
      <c r="D117" t="s">
        <v>76</v>
      </c>
      <c r="E117" t="s">
        <v>19</v>
      </c>
      <c r="F117" s="4" t="s">
        <v>75</v>
      </c>
      <c r="G117" t="s">
        <v>74</v>
      </c>
      <c r="H117" t="s">
        <v>74</v>
      </c>
      <c r="I117" t="s">
        <v>74</v>
      </c>
      <c r="K117" t="s">
        <v>406</v>
      </c>
      <c r="L117" t="s">
        <v>406</v>
      </c>
      <c r="M117" t="s">
        <v>406</v>
      </c>
      <c r="R117" t="s">
        <v>279</v>
      </c>
      <c r="S117" t="s">
        <v>341</v>
      </c>
      <c r="T117" t="s">
        <v>258</v>
      </c>
      <c r="U117" t="s">
        <v>281</v>
      </c>
      <c r="W117" s="1">
        <f>[12]XFT_full_database!J1305*0.001</f>
        <v>1.367E-2</v>
      </c>
      <c r="X117" t="s">
        <v>237</v>
      </c>
      <c r="AA117">
        <f t="shared" si="9"/>
        <v>7.5</v>
      </c>
      <c r="AB117" s="3">
        <f>[12]XFT_full_database!I1306</f>
        <v>38.683999999999997</v>
      </c>
      <c r="AD117" t="s">
        <v>223</v>
      </c>
    </row>
    <row r="118" spans="1:30" x14ac:dyDescent="0.35">
      <c r="A118" t="s">
        <v>340</v>
      </c>
      <c r="B118" t="s">
        <v>339</v>
      </c>
      <c r="C118" t="s">
        <v>77</v>
      </c>
      <c r="D118" t="s">
        <v>76</v>
      </c>
      <c r="E118" t="s">
        <v>19</v>
      </c>
      <c r="F118" s="4" t="s">
        <v>75</v>
      </c>
      <c r="G118" t="s">
        <v>74</v>
      </c>
      <c r="H118" t="s">
        <v>74</v>
      </c>
      <c r="I118" t="s">
        <v>74</v>
      </c>
      <c r="K118" t="s">
        <v>406</v>
      </c>
      <c r="L118" t="s">
        <v>406</v>
      </c>
      <c r="M118" t="s">
        <v>406</v>
      </c>
      <c r="R118" t="s">
        <v>279</v>
      </c>
      <c r="S118" t="s">
        <v>341</v>
      </c>
      <c r="T118" t="s">
        <v>258</v>
      </c>
      <c r="U118" t="s">
        <v>281</v>
      </c>
      <c r="W118" s="1">
        <f>[12]XFT_full_database!J1306*0.001</f>
        <v>2.9129999999999998E-3</v>
      </c>
      <c r="X118" t="s">
        <v>237</v>
      </c>
      <c r="AA118">
        <f t="shared" si="9"/>
        <v>7.5</v>
      </c>
      <c r="AB118" s="3">
        <f>[12]XFT_full_database!$I$1353</f>
        <v>49.133000000000003</v>
      </c>
      <c r="AD118" t="s">
        <v>223</v>
      </c>
    </row>
    <row r="119" spans="1:30" x14ac:dyDescent="0.35">
      <c r="A119" t="s">
        <v>260</v>
      </c>
      <c r="B119" t="s">
        <v>101</v>
      </c>
      <c r="C119" t="s">
        <v>100</v>
      </c>
      <c r="D119" t="s">
        <v>29</v>
      </c>
      <c r="E119" t="s">
        <v>19</v>
      </c>
      <c r="F119" t="s">
        <v>362</v>
      </c>
      <c r="G119" t="s">
        <v>362</v>
      </c>
      <c r="H119" t="s">
        <v>408</v>
      </c>
      <c r="I119" t="s">
        <v>411</v>
      </c>
      <c r="J119">
        <f>+AVERAGE(10,14)</f>
        <v>12</v>
      </c>
      <c r="K119" t="s">
        <v>406</v>
      </c>
      <c r="L119" t="s">
        <v>406</v>
      </c>
      <c r="M119" t="s">
        <v>406</v>
      </c>
      <c r="R119" t="s">
        <v>279</v>
      </c>
      <c r="S119" t="s">
        <v>217</v>
      </c>
      <c r="T119" t="s">
        <v>216</v>
      </c>
      <c r="U119" t="s">
        <v>281</v>
      </c>
      <c r="V119" s="1">
        <f>[13]Bramley_etal_2007_Fig6!$F$14</f>
        <v>4.0279756762963632E-11</v>
      </c>
      <c r="X119" t="s">
        <v>234</v>
      </c>
      <c r="AB119" s="3"/>
      <c r="AD119" t="s">
        <v>213</v>
      </c>
    </row>
    <row r="120" spans="1:30" x14ac:dyDescent="0.35">
      <c r="A120" t="s">
        <v>260</v>
      </c>
      <c r="B120" t="s">
        <v>99</v>
      </c>
      <c r="C120" t="s">
        <v>100</v>
      </c>
      <c r="D120" t="s">
        <v>29</v>
      </c>
      <c r="E120" t="s">
        <v>19</v>
      </c>
      <c r="F120" t="s">
        <v>362</v>
      </c>
      <c r="G120" t="s">
        <v>362</v>
      </c>
      <c r="H120" t="s">
        <v>408</v>
      </c>
      <c r="I120" t="s">
        <v>411</v>
      </c>
      <c r="J120">
        <f t="shared" ref="J120:J122" si="10">+AVERAGE(10,14)</f>
        <v>12</v>
      </c>
      <c r="K120" t="s">
        <v>406</v>
      </c>
      <c r="L120" t="s">
        <v>406</v>
      </c>
      <c r="M120" t="s">
        <v>406</v>
      </c>
      <c r="R120" t="s">
        <v>279</v>
      </c>
      <c r="S120" t="s">
        <v>217</v>
      </c>
      <c r="T120" t="s">
        <v>216</v>
      </c>
      <c r="U120" t="s">
        <v>281</v>
      </c>
      <c r="V120" s="1">
        <f>[13]Bramley_etal_2007_Fig6!$F$25</f>
        <v>6.4889606107639941E-11</v>
      </c>
      <c r="X120" t="s">
        <v>234</v>
      </c>
      <c r="AB120" s="3"/>
      <c r="AD120" t="s">
        <v>213</v>
      </c>
    </row>
    <row r="121" spans="1:30" x14ac:dyDescent="0.35">
      <c r="A121" t="s">
        <v>260</v>
      </c>
      <c r="B121" t="s">
        <v>98</v>
      </c>
      <c r="C121" t="s">
        <v>102</v>
      </c>
      <c r="D121" t="s">
        <v>81</v>
      </c>
      <c r="E121" t="s">
        <v>19</v>
      </c>
      <c r="F121" t="s">
        <v>82</v>
      </c>
      <c r="G121" t="s">
        <v>82</v>
      </c>
      <c r="H121" t="s">
        <v>82</v>
      </c>
      <c r="I121" t="s">
        <v>378</v>
      </c>
      <c r="J121">
        <f t="shared" si="10"/>
        <v>12</v>
      </c>
      <c r="K121" t="s">
        <v>406</v>
      </c>
      <c r="L121" t="s">
        <v>406</v>
      </c>
      <c r="M121" t="s">
        <v>406</v>
      </c>
      <c r="R121" t="s">
        <v>279</v>
      </c>
      <c r="S121" t="s">
        <v>251</v>
      </c>
      <c r="T121" t="s">
        <v>216</v>
      </c>
      <c r="U121" t="s">
        <v>281</v>
      </c>
      <c r="V121" s="1">
        <f>[13]Bramley_etal_2007_Fig6!$F$31</f>
        <v>3.0678412761433666E-11</v>
      </c>
      <c r="X121" t="s">
        <v>234</v>
      </c>
      <c r="AB121" s="3"/>
      <c r="AD121" t="s">
        <v>213</v>
      </c>
    </row>
    <row r="122" spans="1:30" x14ac:dyDescent="0.35">
      <c r="A122" t="s">
        <v>260</v>
      </c>
      <c r="B122" t="s">
        <v>209</v>
      </c>
      <c r="C122" t="s">
        <v>210</v>
      </c>
      <c r="D122" t="s">
        <v>81</v>
      </c>
      <c r="E122" t="s">
        <v>191</v>
      </c>
      <c r="F122" t="s">
        <v>192</v>
      </c>
      <c r="G122" t="s">
        <v>192</v>
      </c>
      <c r="H122" t="s">
        <v>192</v>
      </c>
      <c r="I122" t="s">
        <v>378</v>
      </c>
      <c r="J122">
        <f t="shared" si="10"/>
        <v>12</v>
      </c>
      <c r="K122" t="s">
        <v>406</v>
      </c>
      <c r="L122" t="s">
        <v>406</v>
      </c>
      <c r="M122" t="s">
        <v>406</v>
      </c>
      <c r="R122" t="s">
        <v>279</v>
      </c>
      <c r="S122" t="s">
        <v>251</v>
      </c>
      <c r="T122" t="s">
        <v>216</v>
      </c>
      <c r="U122" t="s">
        <v>281</v>
      </c>
      <c r="V122" s="1">
        <f>[13]Bramley_etal_2007_Fig6!$F$43</f>
        <v>1.2604831945413012E-11</v>
      </c>
      <c r="X122" t="s">
        <v>234</v>
      </c>
      <c r="AB122" s="3"/>
      <c r="AD122" t="s">
        <v>213</v>
      </c>
    </row>
    <row r="123" spans="1:30" x14ac:dyDescent="0.35">
      <c r="A123" t="s">
        <v>318</v>
      </c>
      <c r="B123" t="s">
        <v>319</v>
      </c>
      <c r="C123" t="s">
        <v>310</v>
      </c>
      <c r="D123" t="s">
        <v>22</v>
      </c>
      <c r="E123" t="s">
        <v>19</v>
      </c>
      <c r="F123" t="s">
        <v>23</v>
      </c>
      <c r="G123" t="s">
        <v>365</v>
      </c>
      <c r="H123" t="s">
        <v>403</v>
      </c>
      <c r="I123" t="s">
        <v>376</v>
      </c>
      <c r="K123" t="s">
        <v>406</v>
      </c>
      <c r="L123" t="s">
        <v>406</v>
      </c>
      <c r="M123" t="s">
        <v>406</v>
      </c>
      <c r="R123" t="s">
        <v>279</v>
      </c>
      <c r="S123" t="s">
        <v>268</v>
      </c>
      <c r="T123" t="s">
        <v>258</v>
      </c>
      <c r="U123" t="s">
        <v>281</v>
      </c>
      <c r="W123" s="1">
        <f>[12]XFT_full_database!$J$1353*0.001</f>
        <v>2.82E-3</v>
      </c>
      <c r="X123" s="1" t="s">
        <v>237</v>
      </c>
      <c r="AD123" t="s">
        <v>223</v>
      </c>
    </row>
    <row r="124" spans="1:30" x14ac:dyDescent="0.35">
      <c r="A124" t="s">
        <v>318</v>
      </c>
      <c r="B124" t="s">
        <v>320</v>
      </c>
      <c r="C124" t="s">
        <v>328</v>
      </c>
      <c r="D124" t="s">
        <v>331</v>
      </c>
      <c r="E124" t="s">
        <v>19</v>
      </c>
      <c r="F124" t="s">
        <v>23</v>
      </c>
      <c r="G124" t="s">
        <v>365</v>
      </c>
      <c r="H124" t="s">
        <v>403</v>
      </c>
      <c r="I124" t="s">
        <v>376</v>
      </c>
      <c r="K124" t="s">
        <v>406</v>
      </c>
      <c r="L124" t="s">
        <v>406</v>
      </c>
      <c r="M124" t="s">
        <v>406</v>
      </c>
      <c r="R124" t="s">
        <v>279</v>
      </c>
      <c r="S124" t="s">
        <v>268</v>
      </c>
      <c r="T124" t="s">
        <v>258</v>
      </c>
      <c r="U124" t="s">
        <v>281</v>
      </c>
      <c r="W124" s="1">
        <f>[12]XFT_full_database!J1062*0.001</f>
        <v>2.2699999999999999E-3</v>
      </c>
      <c r="X124" t="s">
        <v>237</v>
      </c>
      <c r="AD124" t="s">
        <v>223</v>
      </c>
    </row>
    <row r="125" spans="1:30" x14ac:dyDescent="0.35">
      <c r="A125" t="s">
        <v>318</v>
      </c>
      <c r="B125" t="s">
        <v>321</v>
      </c>
      <c r="C125" t="s">
        <v>329</v>
      </c>
      <c r="D125" t="s">
        <v>332</v>
      </c>
      <c r="E125" t="s">
        <v>19</v>
      </c>
      <c r="F125" t="s">
        <v>274</v>
      </c>
      <c r="G125" t="s">
        <v>364</v>
      </c>
      <c r="H125" t="s">
        <v>403</v>
      </c>
      <c r="I125" t="s">
        <v>376</v>
      </c>
      <c r="K125" t="s">
        <v>406</v>
      </c>
      <c r="L125" t="s">
        <v>406</v>
      </c>
      <c r="M125" t="s">
        <v>406</v>
      </c>
      <c r="R125" t="s">
        <v>279</v>
      </c>
      <c r="S125" t="s">
        <v>268</v>
      </c>
      <c r="T125" t="s">
        <v>258</v>
      </c>
      <c r="U125" t="s">
        <v>281</v>
      </c>
      <c r="W125" s="1">
        <f>[12]XFT_full_database!$J$1064*0.001</f>
        <v>4.6100000000000004E-4</v>
      </c>
      <c r="X125" t="s">
        <v>237</v>
      </c>
      <c r="AD125" t="s">
        <v>223</v>
      </c>
    </row>
    <row r="126" spans="1:30" x14ac:dyDescent="0.35">
      <c r="A126" t="s">
        <v>318</v>
      </c>
      <c r="B126" t="s">
        <v>322</v>
      </c>
      <c r="C126" t="s">
        <v>110</v>
      </c>
      <c r="D126" t="s">
        <v>145</v>
      </c>
      <c r="E126" t="s">
        <v>19</v>
      </c>
      <c r="F126" t="s">
        <v>23</v>
      </c>
      <c r="G126" t="s">
        <v>365</v>
      </c>
      <c r="H126" t="s">
        <v>403</v>
      </c>
      <c r="I126" t="s">
        <v>376</v>
      </c>
      <c r="K126" t="s">
        <v>406</v>
      </c>
      <c r="L126" t="s">
        <v>406</v>
      </c>
      <c r="M126" t="s">
        <v>406</v>
      </c>
      <c r="R126" t="s">
        <v>279</v>
      </c>
      <c r="S126" t="s">
        <v>268</v>
      </c>
      <c r="T126" t="s">
        <v>258</v>
      </c>
      <c r="U126" t="s">
        <v>281</v>
      </c>
      <c r="W126" s="1">
        <f>[12]XFT_full_database!$J$1066*0.001</f>
        <v>3.1389999999999999E-3</v>
      </c>
      <c r="X126" t="s">
        <v>237</v>
      </c>
      <c r="AD126" t="s">
        <v>223</v>
      </c>
    </row>
    <row r="127" spans="1:30" x14ac:dyDescent="0.35">
      <c r="A127" t="s">
        <v>318</v>
      </c>
      <c r="B127" t="s">
        <v>323</v>
      </c>
      <c r="C127" t="s">
        <v>28</v>
      </c>
      <c r="D127" t="s">
        <v>22</v>
      </c>
      <c r="E127" t="s">
        <v>19</v>
      </c>
      <c r="F127" t="s">
        <v>23</v>
      </c>
      <c r="G127" t="s">
        <v>365</v>
      </c>
      <c r="H127" t="s">
        <v>403</v>
      </c>
      <c r="I127" t="s">
        <v>376</v>
      </c>
      <c r="K127" t="s">
        <v>406</v>
      </c>
      <c r="L127" t="s">
        <v>406</v>
      </c>
      <c r="M127" t="s">
        <v>406</v>
      </c>
      <c r="R127" t="s">
        <v>279</v>
      </c>
      <c r="S127" t="s">
        <v>268</v>
      </c>
      <c r="T127" t="s">
        <v>258</v>
      </c>
      <c r="U127" t="s">
        <v>281</v>
      </c>
      <c r="W127" s="1">
        <f>[12]XFT_full_database!$J$1069*0.001</f>
        <v>2.529E-3</v>
      </c>
      <c r="X127" t="s">
        <v>237</v>
      </c>
      <c r="AD127" t="s">
        <v>223</v>
      </c>
    </row>
    <row r="128" spans="1:30" x14ac:dyDescent="0.35">
      <c r="A128" t="s">
        <v>318</v>
      </c>
      <c r="B128" t="s">
        <v>309</v>
      </c>
      <c r="C128" t="s">
        <v>28</v>
      </c>
      <c r="D128" t="s">
        <v>22</v>
      </c>
      <c r="E128" t="s">
        <v>19</v>
      </c>
      <c r="F128" t="s">
        <v>23</v>
      </c>
      <c r="G128" t="s">
        <v>365</v>
      </c>
      <c r="H128" t="s">
        <v>403</v>
      </c>
      <c r="I128" t="s">
        <v>376</v>
      </c>
      <c r="K128" t="s">
        <v>406</v>
      </c>
      <c r="L128" t="s">
        <v>406</v>
      </c>
      <c r="M128" t="s">
        <v>406</v>
      </c>
      <c r="R128" t="s">
        <v>279</v>
      </c>
      <c r="S128" t="s">
        <v>268</v>
      </c>
      <c r="T128" t="s">
        <v>258</v>
      </c>
      <c r="U128" t="s">
        <v>281</v>
      </c>
      <c r="W128" s="1">
        <f>[12]XFT_full_database!$J$1071*0.001</f>
        <v>1.271E-3</v>
      </c>
      <c r="X128" t="s">
        <v>237</v>
      </c>
      <c r="AD128" t="s">
        <v>223</v>
      </c>
    </row>
    <row r="129" spans="1:30" x14ac:dyDescent="0.35">
      <c r="A129" t="s">
        <v>318</v>
      </c>
      <c r="B129" t="s">
        <v>324</v>
      </c>
      <c r="C129" t="s">
        <v>89</v>
      </c>
      <c r="D129" t="s">
        <v>22</v>
      </c>
      <c r="E129" t="s">
        <v>19</v>
      </c>
      <c r="F129" t="s">
        <v>23</v>
      </c>
      <c r="G129" t="s">
        <v>365</v>
      </c>
      <c r="H129" t="s">
        <v>403</v>
      </c>
      <c r="I129" t="s">
        <v>376</v>
      </c>
      <c r="K129" t="s">
        <v>406</v>
      </c>
      <c r="L129" t="s">
        <v>406</v>
      </c>
      <c r="M129" t="s">
        <v>406</v>
      </c>
      <c r="R129" t="s">
        <v>279</v>
      </c>
      <c r="S129" t="s">
        <v>268</v>
      </c>
      <c r="T129" t="s">
        <v>258</v>
      </c>
      <c r="U129" t="s">
        <v>281</v>
      </c>
      <c r="W129" s="1">
        <f>[12]XFT_full_database!$J$1073*0.001</f>
        <v>1.4676E-2</v>
      </c>
      <c r="X129" t="s">
        <v>237</v>
      </c>
      <c r="AD129" t="s">
        <v>223</v>
      </c>
    </row>
    <row r="130" spans="1:30" x14ac:dyDescent="0.35">
      <c r="A130" t="s">
        <v>318</v>
      </c>
      <c r="B130" t="s">
        <v>325</v>
      </c>
      <c r="C130" t="s">
        <v>89</v>
      </c>
      <c r="D130" t="s">
        <v>22</v>
      </c>
      <c r="E130" t="s">
        <v>19</v>
      </c>
      <c r="F130" t="s">
        <v>23</v>
      </c>
      <c r="G130" t="s">
        <v>365</v>
      </c>
      <c r="H130" t="s">
        <v>403</v>
      </c>
      <c r="I130" t="s">
        <v>376</v>
      </c>
      <c r="K130" t="s">
        <v>406</v>
      </c>
      <c r="L130" t="s">
        <v>406</v>
      </c>
      <c r="M130" t="s">
        <v>406</v>
      </c>
      <c r="R130" t="s">
        <v>279</v>
      </c>
      <c r="S130" t="s">
        <v>268</v>
      </c>
      <c r="T130" t="s">
        <v>258</v>
      </c>
      <c r="U130" t="s">
        <v>281</v>
      </c>
      <c r="W130" s="1">
        <f>[12]XFT_full_database!J1116*0.001</f>
        <v>9.6010000000000019E-3</v>
      </c>
      <c r="X130" t="s">
        <v>237</v>
      </c>
      <c r="AD130" t="s">
        <v>223</v>
      </c>
    </row>
    <row r="131" spans="1:30" x14ac:dyDescent="0.35">
      <c r="A131" t="s">
        <v>318</v>
      </c>
      <c r="B131" t="s">
        <v>326</v>
      </c>
      <c r="C131" t="s">
        <v>89</v>
      </c>
      <c r="D131" t="s">
        <v>22</v>
      </c>
      <c r="E131" t="s">
        <v>19</v>
      </c>
      <c r="F131" t="s">
        <v>23</v>
      </c>
      <c r="G131" t="s">
        <v>365</v>
      </c>
      <c r="H131" t="s">
        <v>403</v>
      </c>
      <c r="I131" t="s">
        <v>376</v>
      </c>
      <c r="K131" t="s">
        <v>406</v>
      </c>
      <c r="L131" t="s">
        <v>406</v>
      </c>
      <c r="M131" t="s">
        <v>406</v>
      </c>
      <c r="R131" t="s">
        <v>279</v>
      </c>
      <c r="S131" t="s">
        <v>268</v>
      </c>
      <c r="T131" t="s">
        <v>258</v>
      </c>
      <c r="U131" t="s">
        <v>281</v>
      </c>
      <c r="W131" s="1">
        <f>[12]XFT_full_database!J1117*0.001</f>
        <v>4.1139999999999996E-3</v>
      </c>
      <c r="X131" t="s">
        <v>237</v>
      </c>
      <c r="AD131" t="s">
        <v>223</v>
      </c>
    </row>
    <row r="132" spans="1:30" x14ac:dyDescent="0.35">
      <c r="A132" t="s">
        <v>318</v>
      </c>
      <c r="B132" t="s">
        <v>327</v>
      </c>
      <c r="C132" t="s">
        <v>330</v>
      </c>
      <c r="D132" t="s">
        <v>332</v>
      </c>
      <c r="E132" t="s">
        <v>19</v>
      </c>
      <c r="F132" t="s">
        <v>23</v>
      </c>
      <c r="G132" t="s">
        <v>365</v>
      </c>
      <c r="H132" t="s">
        <v>403</v>
      </c>
      <c r="I132" t="s">
        <v>376</v>
      </c>
      <c r="K132" t="s">
        <v>406</v>
      </c>
      <c r="L132" t="s">
        <v>406</v>
      </c>
      <c r="M132" t="s">
        <v>406</v>
      </c>
      <c r="R132" t="s">
        <v>279</v>
      </c>
      <c r="S132" t="s">
        <v>268</v>
      </c>
      <c r="T132" t="s">
        <v>258</v>
      </c>
      <c r="U132" t="s">
        <v>281</v>
      </c>
      <c r="W132" s="1">
        <f>[12]XFT_full_database!J1118*0.001</f>
        <v>2.2669999999999999E-3</v>
      </c>
      <c r="X132" t="s">
        <v>237</v>
      </c>
      <c r="AD132" t="s">
        <v>223</v>
      </c>
    </row>
    <row r="133" spans="1:30" x14ac:dyDescent="0.35">
      <c r="A133" t="s">
        <v>318</v>
      </c>
      <c r="B133" t="s">
        <v>270</v>
      </c>
      <c r="C133" t="s">
        <v>271</v>
      </c>
      <c r="D133" t="s">
        <v>145</v>
      </c>
      <c r="E133" t="s">
        <v>19</v>
      </c>
      <c r="F133" t="s">
        <v>23</v>
      </c>
      <c r="G133" t="s">
        <v>365</v>
      </c>
      <c r="H133" t="s">
        <v>403</v>
      </c>
      <c r="I133" t="s">
        <v>376</v>
      </c>
      <c r="K133" t="s">
        <v>406</v>
      </c>
      <c r="L133" t="s">
        <v>406</v>
      </c>
      <c r="M133" t="s">
        <v>406</v>
      </c>
      <c r="R133" t="s">
        <v>279</v>
      </c>
      <c r="S133" t="s">
        <v>268</v>
      </c>
      <c r="T133" t="s">
        <v>258</v>
      </c>
      <c r="U133" t="s">
        <v>281</v>
      </c>
      <c r="W133" s="1">
        <f>[12]XFT_full_database!J1119*0.001</f>
        <v>1.1510000000000001E-3</v>
      </c>
      <c r="X133" t="s">
        <v>237</v>
      </c>
      <c r="AD133" t="s">
        <v>223</v>
      </c>
    </row>
    <row r="134" spans="1:30" x14ac:dyDescent="0.35">
      <c r="A134" t="s">
        <v>318</v>
      </c>
      <c r="B134" t="s">
        <v>272</v>
      </c>
      <c r="C134" t="s">
        <v>273</v>
      </c>
      <c r="D134" t="s">
        <v>145</v>
      </c>
      <c r="E134" t="s">
        <v>19</v>
      </c>
      <c r="F134" t="s">
        <v>274</v>
      </c>
      <c r="G134" t="s">
        <v>364</v>
      </c>
      <c r="H134" t="s">
        <v>403</v>
      </c>
      <c r="I134" t="s">
        <v>376</v>
      </c>
      <c r="K134" t="s">
        <v>406</v>
      </c>
      <c r="L134" t="s">
        <v>406</v>
      </c>
      <c r="M134" t="s">
        <v>406</v>
      </c>
      <c r="R134" t="s">
        <v>279</v>
      </c>
      <c r="S134" t="s">
        <v>268</v>
      </c>
      <c r="T134" t="s">
        <v>258</v>
      </c>
      <c r="U134" t="s">
        <v>281</v>
      </c>
      <c r="W134" s="1">
        <f>[12]XFT_full_database!$J$1292*0.001</f>
        <v>6.6660000000000009E-3</v>
      </c>
      <c r="X134" t="s">
        <v>237</v>
      </c>
      <c r="AD134" t="s">
        <v>223</v>
      </c>
    </row>
    <row r="135" spans="1:30" x14ac:dyDescent="0.35">
      <c r="A135" t="s">
        <v>125</v>
      </c>
      <c r="B135" t="s">
        <v>111</v>
      </c>
      <c r="C135" t="s">
        <v>25</v>
      </c>
      <c r="D135" t="s">
        <v>24</v>
      </c>
      <c r="E135" t="s">
        <v>19</v>
      </c>
      <c r="F135" t="s">
        <v>20</v>
      </c>
      <c r="G135" t="s">
        <v>360</v>
      </c>
      <c r="H135" t="s">
        <v>402</v>
      </c>
      <c r="I135" t="s">
        <v>376</v>
      </c>
      <c r="J135">
        <f>+AVERAGE(2,5)*365</f>
        <v>1277.5</v>
      </c>
      <c r="K135" t="s">
        <v>406</v>
      </c>
      <c r="L135" t="s">
        <v>406</v>
      </c>
      <c r="M135" t="s">
        <v>406</v>
      </c>
      <c r="R135" t="s">
        <v>279</v>
      </c>
      <c r="S135" t="s">
        <v>106</v>
      </c>
      <c r="T135" t="s">
        <v>258</v>
      </c>
      <c r="U135" t="s">
        <v>281</v>
      </c>
      <c r="W135" s="1">
        <v>9.0000000000000008E-4</v>
      </c>
      <c r="X135" t="s">
        <v>237</v>
      </c>
      <c r="AD135" t="s">
        <v>223</v>
      </c>
    </row>
    <row r="136" spans="1:30" x14ac:dyDescent="0.35">
      <c r="A136" t="s">
        <v>125</v>
      </c>
      <c r="B136" t="s">
        <v>86</v>
      </c>
      <c r="C136" t="s">
        <v>92</v>
      </c>
      <c r="D136" t="s">
        <v>95</v>
      </c>
      <c r="E136" t="s">
        <v>19</v>
      </c>
      <c r="F136" t="s">
        <v>20</v>
      </c>
      <c r="G136" t="s">
        <v>360</v>
      </c>
      <c r="H136" t="s">
        <v>402</v>
      </c>
      <c r="I136" t="s">
        <v>376</v>
      </c>
      <c r="J136">
        <f t="shared" ref="J136:J148" si="11">+AVERAGE(2,5)*365</f>
        <v>1277.5</v>
      </c>
      <c r="K136" t="s">
        <v>406</v>
      </c>
      <c r="L136" t="s">
        <v>406</v>
      </c>
      <c r="M136" t="s">
        <v>406</v>
      </c>
      <c r="R136" t="s">
        <v>279</v>
      </c>
      <c r="S136" t="s">
        <v>106</v>
      </c>
      <c r="T136" t="s">
        <v>258</v>
      </c>
      <c r="U136" t="s">
        <v>281</v>
      </c>
      <c r="W136" s="1">
        <v>1.6200000000000001E-3</v>
      </c>
      <c r="X136" t="s">
        <v>237</v>
      </c>
      <c r="AD136" t="s">
        <v>223</v>
      </c>
    </row>
    <row r="137" spans="1:30" x14ac:dyDescent="0.35">
      <c r="A137" t="s">
        <v>125</v>
      </c>
      <c r="B137" t="s">
        <v>112</v>
      </c>
      <c r="C137" t="s">
        <v>107</v>
      </c>
      <c r="D137" t="s">
        <v>122</v>
      </c>
      <c r="E137" t="s">
        <v>19</v>
      </c>
      <c r="F137" t="s">
        <v>123</v>
      </c>
      <c r="G137" t="s">
        <v>361</v>
      </c>
      <c r="H137" t="s">
        <v>402</v>
      </c>
      <c r="I137" t="s">
        <v>376</v>
      </c>
      <c r="J137">
        <f t="shared" si="11"/>
        <v>1277.5</v>
      </c>
      <c r="K137" t="s">
        <v>406</v>
      </c>
      <c r="L137" t="s">
        <v>406</v>
      </c>
      <c r="M137" t="s">
        <v>406</v>
      </c>
      <c r="R137" t="s">
        <v>279</v>
      </c>
      <c r="S137" t="s">
        <v>106</v>
      </c>
      <c r="T137" t="s">
        <v>258</v>
      </c>
      <c r="U137" t="s">
        <v>281</v>
      </c>
      <c r="W137" s="1">
        <v>1.48E-3</v>
      </c>
      <c r="X137" t="s">
        <v>237</v>
      </c>
      <c r="AD137" t="s">
        <v>223</v>
      </c>
    </row>
    <row r="138" spans="1:30" x14ac:dyDescent="0.35">
      <c r="A138" t="s">
        <v>125</v>
      </c>
      <c r="B138" t="s">
        <v>113</v>
      </c>
      <c r="C138" t="s">
        <v>27</v>
      </c>
      <c r="D138" t="s">
        <v>18</v>
      </c>
      <c r="E138" t="s">
        <v>19</v>
      </c>
      <c r="F138" t="s">
        <v>123</v>
      </c>
      <c r="G138" t="s">
        <v>361</v>
      </c>
      <c r="H138" t="s">
        <v>402</v>
      </c>
      <c r="I138" t="s">
        <v>376</v>
      </c>
      <c r="J138">
        <f t="shared" si="11"/>
        <v>1277.5</v>
      </c>
      <c r="K138" t="s">
        <v>406</v>
      </c>
      <c r="L138" t="s">
        <v>406</v>
      </c>
      <c r="M138" t="s">
        <v>406</v>
      </c>
      <c r="R138" t="s">
        <v>279</v>
      </c>
      <c r="S138" t="s">
        <v>106</v>
      </c>
      <c r="T138" t="s">
        <v>258</v>
      </c>
      <c r="U138" t="s">
        <v>281</v>
      </c>
      <c r="W138" s="1">
        <v>1.54E-2</v>
      </c>
      <c r="X138" t="s">
        <v>237</v>
      </c>
      <c r="AD138" t="s">
        <v>223</v>
      </c>
    </row>
    <row r="139" spans="1:30" x14ac:dyDescent="0.35">
      <c r="A139" t="s">
        <v>125</v>
      </c>
      <c r="B139" t="s">
        <v>114</v>
      </c>
      <c r="C139" t="s">
        <v>27</v>
      </c>
      <c r="D139" t="s">
        <v>18</v>
      </c>
      <c r="E139" t="s">
        <v>19</v>
      </c>
      <c r="F139" t="s">
        <v>20</v>
      </c>
      <c r="G139" t="s">
        <v>360</v>
      </c>
      <c r="H139" t="s">
        <v>402</v>
      </c>
      <c r="I139" t="s">
        <v>376</v>
      </c>
      <c r="J139">
        <f t="shared" si="11"/>
        <v>1277.5</v>
      </c>
      <c r="K139" t="s">
        <v>406</v>
      </c>
      <c r="L139" t="s">
        <v>406</v>
      </c>
      <c r="M139" t="s">
        <v>406</v>
      </c>
      <c r="R139" t="s">
        <v>279</v>
      </c>
      <c r="S139" t="s">
        <v>106</v>
      </c>
      <c r="T139" t="s">
        <v>258</v>
      </c>
      <c r="U139" t="s">
        <v>281</v>
      </c>
      <c r="W139" s="1">
        <v>4.8200000000000005E-3</v>
      </c>
      <c r="X139" t="s">
        <v>237</v>
      </c>
      <c r="AD139" t="s">
        <v>223</v>
      </c>
    </row>
    <row r="140" spans="1:30" x14ac:dyDescent="0.35">
      <c r="A140" t="s">
        <v>125</v>
      </c>
      <c r="B140" t="s">
        <v>115</v>
      </c>
      <c r="C140" t="s">
        <v>27</v>
      </c>
      <c r="D140" t="s">
        <v>18</v>
      </c>
      <c r="E140" t="s">
        <v>19</v>
      </c>
      <c r="F140" t="s">
        <v>20</v>
      </c>
      <c r="G140" t="s">
        <v>360</v>
      </c>
      <c r="H140" t="s">
        <v>402</v>
      </c>
      <c r="I140" t="s">
        <v>376</v>
      </c>
      <c r="J140">
        <f t="shared" si="11"/>
        <v>1277.5</v>
      </c>
      <c r="K140" t="s">
        <v>406</v>
      </c>
      <c r="L140" t="s">
        <v>406</v>
      </c>
      <c r="M140" t="s">
        <v>406</v>
      </c>
      <c r="R140" t="s">
        <v>279</v>
      </c>
      <c r="S140" t="s">
        <v>106</v>
      </c>
      <c r="T140" t="s">
        <v>258</v>
      </c>
      <c r="U140" t="s">
        <v>281</v>
      </c>
      <c r="W140" s="1">
        <v>2.66E-3</v>
      </c>
      <c r="X140" t="s">
        <v>237</v>
      </c>
      <c r="AD140" t="s">
        <v>223</v>
      </c>
    </row>
    <row r="141" spans="1:30" x14ac:dyDescent="0.35">
      <c r="A141" t="s">
        <v>125</v>
      </c>
      <c r="B141" t="s">
        <v>116</v>
      </c>
      <c r="C141" t="s">
        <v>27</v>
      </c>
      <c r="D141" t="s">
        <v>18</v>
      </c>
      <c r="E141" t="s">
        <v>19</v>
      </c>
      <c r="F141" t="s">
        <v>20</v>
      </c>
      <c r="G141" t="s">
        <v>360</v>
      </c>
      <c r="H141" t="s">
        <v>402</v>
      </c>
      <c r="I141" t="s">
        <v>376</v>
      </c>
      <c r="J141">
        <f t="shared" si="11"/>
        <v>1277.5</v>
      </c>
      <c r="K141" t="s">
        <v>406</v>
      </c>
      <c r="L141" t="s">
        <v>406</v>
      </c>
      <c r="M141" t="s">
        <v>406</v>
      </c>
      <c r="R141" t="s">
        <v>279</v>
      </c>
      <c r="S141" t="s">
        <v>106</v>
      </c>
      <c r="T141" t="s">
        <v>258</v>
      </c>
      <c r="U141" t="s">
        <v>281</v>
      </c>
      <c r="W141" s="1">
        <v>1.11E-2</v>
      </c>
      <c r="X141" t="s">
        <v>237</v>
      </c>
      <c r="AD141" t="s">
        <v>223</v>
      </c>
    </row>
    <row r="142" spans="1:30" x14ac:dyDescent="0.35">
      <c r="A142" t="s">
        <v>125</v>
      </c>
      <c r="B142" t="s">
        <v>117</v>
      </c>
      <c r="C142" t="s">
        <v>27</v>
      </c>
      <c r="D142" t="s">
        <v>18</v>
      </c>
      <c r="E142" t="s">
        <v>19</v>
      </c>
      <c r="F142" t="s">
        <v>20</v>
      </c>
      <c r="G142" t="s">
        <v>360</v>
      </c>
      <c r="H142" t="s">
        <v>402</v>
      </c>
      <c r="I142" t="s">
        <v>376</v>
      </c>
      <c r="J142">
        <f t="shared" si="11"/>
        <v>1277.5</v>
      </c>
      <c r="K142" t="s">
        <v>406</v>
      </c>
      <c r="L142" t="s">
        <v>406</v>
      </c>
      <c r="M142" t="s">
        <v>406</v>
      </c>
      <c r="R142" t="s">
        <v>279</v>
      </c>
      <c r="S142" t="s">
        <v>106</v>
      </c>
      <c r="T142" t="s">
        <v>258</v>
      </c>
      <c r="U142" t="s">
        <v>281</v>
      </c>
      <c r="W142" s="1">
        <v>2.4199999999999998E-3</v>
      </c>
      <c r="X142" t="s">
        <v>237</v>
      </c>
      <c r="AD142" t="s">
        <v>223</v>
      </c>
    </row>
    <row r="143" spans="1:30" x14ac:dyDescent="0.35">
      <c r="A143" t="s">
        <v>125</v>
      </c>
      <c r="B143" t="s">
        <v>118</v>
      </c>
      <c r="C143" t="s">
        <v>108</v>
      </c>
      <c r="D143" t="s">
        <v>29</v>
      </c>
      <c r="E143" t="s">
        <v>19</v>
      </c>
      <c r="F143" s="4" t="s">
        <v>124</v>
      </c>
      <c r="G143" t="s">
        <v>74</v>
      </c>
      <c r="H143" t="s">
        <v>74</v>
      </c>
      <c r="I143" t="s">
        <v>74</v>
      </c>
      <c r="J143">
        <f t="shared" si="11"/>
        <v>1277.5</v>
      </c>
      <c r="K143" t="s">
        <v>406</v>
      </c>
      <c r="L143" t="s">
        <v>406</v>
      </c>
      <c r="M143" t="s">
        <v>406</v>
      </c>
      <c r="R143" t="s">
        <v>279</v>
      </c>
      <c r="S143" t="s">
        <v>106</v>
      </c>
      <c r="T143" t="s">
        <v>258</v>
      </c>
      <c r="U143" t="s">
        <v>281</v>
      </c>
      <c r="W143" s="1">
        <v>3.2300000000000002E-3</v>
      </c>
      <c r="X143" t="s">
        <v>237</v>
      </c>
      <c r="AD143" t="s">
        <v>223</v>
      </c>
    </row>
    <row r="144" spans="1:30" x14ac:dyDescent="0.35">
      <c r="A144" t="s">
        <v>125</v>
      </c>
      <c r="B144" t="s">
        <v>85</v>
      </c>
      <c r="C144" t="s">
        <v>91</v>
      </c>
      <c r="D144" t="s">
        <v>94</v>
      </c>
      <c r="E144" t="s">
        <v>19</v>
      </c>
      <c r="F144" t="s">
        <v>20</v>
      </c>
      <c r="G144" t="s">
        <v>360</v>
      </c>
      <c r="H144" t="s">
        <v>402</v>
      </c>
      <c r="I144" t="s">
        <v>376</v>
      </c>
      <c r="J144">
        <f t="shared" si="11"/>
        <v>1277.5</v>
      </c>
      <c r="K144" t="s">
        <v>406</v>
      </c>
      <c r="L144" t="s">
        <v>406</v>
      </c>
      <c r="M144" t="s">
        <v>406</v>
      </c>
      <c r="R144" t="s">
        <v>279</v>
      </c>
      <c r="S144" t="s">
        <v>106</v>
      </c>
      <c r="T144" t="s">
        <v>258</v>
      </c>
      <c r="U144" t="s">
        <v>281</v>
      </c>
      <c r="W144" s="1">
        <v>2.0699999999999998E-3</v>
      </c>
      <c r="X144" t="s">
        <v>237</v>
      </c>
      <c r="AD144" t="s">
        <v>223</v>
      </c>
    </row>
    <row r="145" spans="1:30" x14ac:dyDescent="0.35">
      <c r="A145" t="s">
        <v>125</v>
      </c>
      <c r="B145" t="s">
        <v>119</v>
      </c>
      <c r="C145" t="s">
        <v>109</v>
      </c>
      <c r="D145" t="s">
        <v>126</v>
      </c>
      <c r="E145" t="s">
        <v>19</v>
      </c>
      <c r="F145" t="s">
        <v>20</v>
      </c>
      <c r="G145" t="s">
        <v>360</v>
      </c>
      <c r="H145" t="s">
        <v>402</v>
      </c>
      <c r="I145" t="s">
        <v>376</v>
      </c>
      <c r="J145">
        <f t="shared" si="11"/>
        <v>1277.5</v>
      </c>
      <c r="K145" t="s">
        <v>406</v>
      </c>
      <c r="L145" t="s">
        <v>406</v>
      </c>
      <c r="M145" t="s">
        <v>406</v>
      </c>
      <c r="R145" t="s">
        <v>279</v>
      </c>
      <c r="S145" t="s">
        <v>106</v>
      </c>
      <c r="T145" t="s">
        <v>258</v>
      </c>
      <c r="U145" t="s">
        <v>281</v>
      </c>
      <c r="W145" s="1">
        <v>2.14E-3</v>
      </c>
      <c r="X145" t="s">
        <v>237</v>
      </c>
      <c r="AD145" t="s">
        <v>223</v>
      </c>
    </row>
    <row r="146" spans="1:30" x14ac:dyDescent="0.35">
      <c r="A146" t="s">
        <v>125</v>
      </c>
      <c r="B146" t="s">
        <v>120</v>
      </c>
      <c r="C146" t="s">
        <v>110</v>
      </c>
      <c r="D146" t="s">
        <v>145</v>
      </c>
      <c r="E146" t="s">
        <v>19</v>
      </c>
      <c r="F146" t="s">
        <v>23</v>
      </c>
      <c r="G146" t="s">
        <v>365</v>
      </c>
      <c r="H146" t="s">
        <v>403</v>
      </c>
      <c r="I146" t="s">
        <v>376</v>
      </c>
      <c r="J146">
        <f t="shared" si="11"/>
        <v>1277.5</v>
      </c>
      <c r="K146" t="s">
        <v>406</v>
      </c>
      <c r="L146" t="s">
        <v>406</v>
      </c>
      <c r="M146" t="s">
        <v>406</v>
      </c>
      <c r="R146" t="s">
        <v>279</v>
      </c>
      <c r="S146" t="s">
        <v>106</v>
      </c>
      <c r="T146" t="s">
        <v>258</v>
      </c>
      <c r="U146" t="s">
        <v>281</v>
      </c>
      <c r="W146" s="1">
        <v>1.6899999999999999E-3</v>
      </c>
      <c r="X146" t="s">
        <v>237</v>
      </c>
      <c r="AD146" t="s">
        <v>223</v>
      </c>
    </row>
    <row r="147" spans="1:30" x14ac:dyDescent="0.35">
      <c r="A147" t="s">
        <v>125</v>
      </c>
      <c r="B147" t="s">
        <v>88</v>
      </c>
      <c r="C147" t="s">
        <v>89</v>
      </c>
      <c r="D147" t="s">
        <v>22</v>
      </c>
      <c r="E147" t="s">
        <v>19</v>
      </c>
      <c r="F147" t="s">
        <v>23</v>
      </c>
      <c r="G147" t="s">
        <v>365</v>
      </c>
      <c r="H147" t="s">
        <v>403</v>
      </c>
      <c r="I147" t="s">
        <v>376</v>
      </c>
      <c r="J147">
        <f t="shared" si="11"/>
        <v>1277.5</v>
      </c>
      <c r="K147" t="s">
        <v>406</v>
      </c>
      <c r="L147" t="s">
        <v>406</v>
      </c>
      <c r="M147" t="s">
        <v>406</v>
      </c>
      <c r="R147" t="s">
        <v>279</v>
      </c>
      <c r="S147" t="s">
        <v>106</v>
      </c>
      <c r="T147" t="s">
        <v>258</v>
      </c>
      <c r="U147" t="s">
        <v>281</v>
      </c>
      <c r="W147" s="1">
        <v>3.82E-3</v>
      </c>
      <c r="X147" t="s">
        <v>237</v>
      </c>
      <c r="AD147" t="s">
        <v>223</v>
      </c>
    </row>
    <row r="148" spans="1:30" x14ac:dyDescent="0.35">
      <c r="A148" t="s">
        <v>125</v>
      </c>
      <c r="B148" t="s">
        <v>121</v>
      </c>
      <c r="C148" t="s">
        <v>89</v>
      </c>
      <c r="D148" t="s">
        <v>22</v>
      </c>
      <c r="E148" t="s">
        <v>19</v>
      </c>
      <c r="F148" t="s">
        <v>23</v>
      </c>
      <c r="G148" t="s">
        <v>365</v>
      </c>
      <c r="H148" t="s">
        <v>403</v>
      </c>
      <c r="I148" t="s">
        <v>376</v>
      </c>
      <c r="J148">
        <f t="shared" si="11"/>
        <v>1277.5</v>
      </c>
      <c r="K148" t="s">
        <v>406</v>
      </c>
      <c r="L148" t="s">
        <v>406</v>
      </c>
      <c r="M148" t="s">
        <v>406</v>
      </c>
      <c r="R148" t="s">
        <v>279</v>
      </c>
      <c r="S148" t="s">
        <v>106</v>
      </c>
      <c r="T148" t="s">
        <v>258</v>
      </c>
      <c r="U148" t="s">
        <v>281</v>
      </c>
      <c r="W148" s="1">
        <v>9.1E-4</v>
      </c>
      <c r="X148" t="s">
        <v>237</v>
      </c>
      <c r="AD148" t="s">
        <v>223</v>
      </c>
    </row>
    <row r="149" spans="1:30" x14ac:dyDescent="0.35">
      <c r="A149" t="s">
        <v>312</v>
      </c>
      <c r="B149" t="s">
        <v>313</v>
      </c>
      <c r="C149" t="s">
        <v>314</v>
      </c>
      <c r="D149" t="s">
        <v>29</v>
      </c>
      <c r="E149" t="s">
        <v>19</v>
      </c>
      <c r="F149" t="s">
        <v>20</v>
      </c>
      <c r="G149" t="s">
        <v>360</v>
      </c>
      <c r="H149" t="s">
        <v>402</v>
      </c>
      <c r="I149" t="s">
        <v>376</v>
      </c>
      <c r="K149" t="s">
        <v>396</v>
      </c>
      <c r="L149" t="s">
        <v>367</v>
      </c>
      <c r="M149" t="s">
        <v>398</v>
      </c>
      <c r="R149" t="s">
        <v>279</v>
      </c>
      <c r="S149" t="s">
        <v>106</v>
      </c>
      <c r="T149" t="s">
        <v>258</v>
      </c>
      <c r="U149" t="s">
        <v>281</v>
      </c>
      <c r="W149" s="1">
        <v>2.247E-2</v>
      </c>
      <c r="X149" t="s">
        <v>237</v>
      </c>
      <c r="AB149">
        <v>71.5</v>
      </c>
      <c r="AD149" t="s">
        <v>358</v>
      </c>
    </row>
    <row r="150" spans="1:30" x14ac:dyDescent="0.35">
      <c r="A150" t="s">
        <v>312</v>
      </c>
      <c r="B150" t="s">
        <v>313</v>
      </c>
      <c r="C150" t="s">
        <v>314</v>
      </c>
      <c r="D150" t="s">
        <v>29</v>
      </c>
      <c r="E150" t="s">
        <v>19</v>
      </c>
      <c r="F150" t="s">
        <v>20</v>
      </c>
      <c r="G150" t="s">
        <v>360</v>
      </c>
      <c r="H150" t="s">
        <v>402</v>
      </c>
      <c r="I150" t="s">
        <v>376</v>
      </c>
      <c r="K150" t="s">
        <v>396</v>
      </c>
      <c r="L150" t="s">
        <v>368</v>
      </c>
      <c r="M150" t="s">
        <v>398</v>
      </c>
      <c r="R150" t="s">
        <v>279</v>
      </c>
      <c r="S150" t="s">
        <v>106</v>
      </c>
      <c r="T150" t="s">
        <v>258</v>
      </c>
      <c r="U150" t="s">
        <v>281</v>
      </c>
      <c r="W150" s="1">
        <v>3.1130000000000001E-2</v>
      </c>
      <c r="X150" t="s">
        <v>237</v>
      </c>
      <c r="AB150">
        <v>86.5</v>
      </c>
      <c r="AD150" t="s">
        <v>358</v>
      </c>
    </row>
    <row r="151" spans="1:30" x14ac:dyDescent="0.35">
      <c r="A151" t="s">
        <v>221</v>
      </c>
      <c r="B151" t="s">
        <v>101</v>
      </c>
      <c r="C151" t="s">
        <v>100</v>
      </c>
      <c r="D151" t="s">
        <v>29</v>
      </c>
      <c r="E151" t="s">
        <v>19</v>
      </c>
      <c r="F151" t="s">
        <v>362</v>
      </c>
      <c r="G151" t="s">
        <v>362</v>
      </c>
      <c r="H151" t="s">
        <v>408</v>
      </c>
      <c r="I151" t="s">
        <v>411</v>
      </c>
      <c r="J151">
        <f>1*30</f>
        <v>30</v>
      </c>
      <c r="K151" t="s">
        <v>406</v>
      </c>
      <c r="L151" t="s">
        <v>406</v>
      </c>
      <c r="M151" t="s">
        <v>406</v>
      </c>
      <c r="R151" t="s">
        <v>279</v>
      </c>
      <c r="S151" t="s">
        <v>217</v>
      </c>
      <c r="T151" t="s">
        <v>215</v>
      </c>
      <c r="U151" t="s">
        <v>281</v>
      </c>
      <c r="V151" s="1">
        <f>[14]Doussan_eatl_2006_Fig3a!$C$5</f>
        <v>2.3895885566047108E-11</v>
      </c>
      <c r="AD151" t="s">
        <v>222</v>
      </c>
    </row>
    <row r="152" spans="1:30" x14ac:dyDescent="0.35">
      <c r="A152" t="s">
        <v>221</v>
      </c>
      <c r="B152" t="s">
        <v>101</v>
      </c>
      <c r="C152" t="s">
        <v>100</v>
      </c>
      <c r="D152" t="s">
        <v>29</v>
      </c>
      <c r="E152" t="s">
        <v>19</v>
      </c>
      <c r="F152" t="s">
        <v>362</v>
      </c>
      <c r="G152" t="s">
        <v>362</v>
      </c>
      <c r="H152" t="s">
        <v>408</v>
      </c>
      <c r="I152" t="s">
        <v>411</v>
      </c>
      <c r="J152">
        <f t="shared" ref="J152:J153" si="12">1*30</f>
        <v>30</v>
      </c>
      <c r="K152" t="s">
        <v>406</v>
      </c>
      <c r="L152" t="s">
        <v>406</v>
      </c>
      <c r="M152" t="s">
        <v>406</v>
      </c>
      <c r="R152" t="s">
        <v>279</v>
      </c>
      <c r="S152" t="s">
        <v>217</v>
      </c>
      <c r="T152" t="s">
        <v>214</v>
      </c>
      <c r="U152" t="s">
        <v>281</v>
      </c>
      <c r="V152" s="1">
        <f>[14]Doussan_eatl_2006_Fig3a!$C$9</f>
        <v>1.9158287278028503E-10</v>
      </c>
      <c r="AD152" t="s">
        <v>222</v>
      </c>
    </row>
    <row r="153" spans="1:30" x14ac:dyDescent="0.35">
      <c r="A153" t="s">
        <v>221</v>
      </c>
      <c r="B153" t="s">
        <v>101</v>
      </c>
      <c r="C153" t="s">
        <v>100</v>
      </c>
      <c r="D153" t="s">
        <v>29</v>
      </c>
      <c r="E153" t="s">
        <v>19</v>
      </c>
      <c r="F153" t="s">
        <v>362</v>
      </c>
      <c r="G153" t="s">
        <v>362</v>
      </c>
      <c r="H153" t="s">
        <v>408</v>
      </c>
      <c r="I153" t="s">
        <v>411</v>
      </c>
      <c r="J153">
        <f t="shared" si="12"/>
        <v>30</v>
      </c>
      <c r="K153" t="s">
        <v>406</v>
      </c>
      <c r="L153" t="s">
        <v>406</v>
      </c>
      <c r="M153" t="s">
        <v>406</v>
      </c>
      <c r="R153" t="s">
        <v>279</v>
      </c>
      <c r="S153" t="s">
        <v>217</v>
      </c>
      <c r="T153" t="s">
        <v>216</v>
      </c>
      <c r="U153" t="s">
        <v>281</v>
      </c>
      <c r="V153" s="1">
        <f>[14]Doussan_eatl_2006_Fig3a!$C$16</f>
        <v>2.961700470863359E-10</v>
      </c>
      <c r="AD153" t="s">
        <v>222</v>
      </c>
    </row>
    <row r="154" spans="1:30" x14ac:dyDescent="0.35">
      <c r="A154" t="s">
        <v>221</v>
      </c>
      <c r="B154" t="s">
        <v>101</v>
      </c>
      <c r="C154" t="s">
        <v>100</v>
      </c>
      <c r="D154" t="s">
        <v>29</v>
      </c>
      <c r="E154" t="s">
        <v>19</v>
      </c>
      <c r="F154" t="s">
        <v>362</v>
      </c>
      <c r="G154" t="s">
        <v>362</v>
      </c>
      <c r="H154" t="s">
        <v>408</v>
      </c>
      <c r="I154" t="s">
        <v>411</v>
      </c>
      <c r="J154" s="5">
        <v>30</v>
      </c>
      <c r="K154" t="s">
        <v>406</v>
      </c>
      <c r="L154" t="s">
        <v>406</v>
      </c>
      <c r="M154" t="s">
        <v>406</v>
      </c>
      <c r="R154" t="s">
        <v>279</v>
      </c>
      <c r="S154" t="s">
        <v>220</v>
      </c>
      <c r="T154" t="s">
        <v>215</v>
      </c>
      <c r="U154" t="s">
        <v>281</v>
      </c>
      <c r="V154" s="1">
        <f>[15]Doussan_eatl_2006_Fig3b!D5</f>
        <v>2.8286384976525801E-12</v>
      </c>
      <c r="AD154" t="s">
        <v>222</v>
      </c>
    </row>
    <row r="155" spans="1:30" x14ac:dyDescent="0.35">
      <c r="A155" t="s">
        <v>221</v>
      </c>
      <c r="B155" t="s">
        <v>101</v>
      </c>
      <c r="C155" t="s">
        <v>100</v>
      </c>
      <c r="D155" t="s">
        <v>29</v>
      </c>
      <c r="E155" t="s">
        <v>19</v>
      </c>
      <c r="F155" t="s">
        <v>362</v>
      </c>
      <c r="G155" t="s">
        <v>362</v>
      </c>
      <c r="H155" t="s">
        <v>408</v>
      </c>
      <c r="I155" t="s">
        <v>411</v>
      </c>
      <c r="J155" s="5">
        <f>[15]Doussan_eatl_2006_Fig3b!B3</f>
        <v>5</v>
      </c>
      <c r="K155" t="s">
        <v>406</v>
      </c>
      <c r="L155" t="s">
        <v>406</v>
      </c>
      <c r="M155" t="s">
        <v>406</v>
      </c>
      <c r="R155" t="s">
        <v>279</v>
      </c>
      <c r="S155" t="s">
        <v>220</v>
      </c>
      <c r="T155" t="s">
        <v>214</v>
      </c>
      <c r="U155" t="s">
        <v>281</v>
      </c>
      <c r="V155" s="1">
        <f>[15]Doussan_eatl_2006_Fig3b!D6</f>
        <v>8.0516431924882606E-12</v>
      </c>
      <c r="AD155" t="s">
        <v>222</v>
      </c>
    </row>
    <row r="156" spans="1:30" x14ac:dyDescent="0.35">
      <c r="A156" t="s">
        <v>221</v>
      </c>
      <c r="B156" t="s">
        <v>101</v>
      </c>
      <c r="C156" t="s">
        <v>100</v>
      </c>
      <c r="D156" t="s">
        <v>29</v>
      </c>
      <c r="E156" t="s">
        <v>19</v>
      </c>
      <c r="F156" t="s">
        <v>362</v>
      </c>
      <c r="G156" t="s">
        <v>362</v>
      </c>
      <c r="H156" t="s">
        <v>408</v>
      </c>
      <c r="I156" t="s">
        <v>411</v>
      </c>
      <c r="J156" s="5">
        <f>[15]Doussan_eatl_2006_Fig3b!B4</f>
        <v>6</v>
      </c>
      <c r="K156" t="s">
        <v>406</v>
      </c>
      <c r="L156" t="s">
        <v>406</v>
      </c>
      <c r="M156" t="s">
        <v>406</v>
      </c>
      <c r="R156" t="s">
        <v>279</v>
      </c>
      <c r="S156" t="s">
        <v>220</v>
      </c>
      <c r="T156" t="s">
        <v>216</v>
      </c>
      <c r="U156" t="s">
        <v>281</v>
      </c>
      <c r="V156" s="1">
        <f>[15]Doussan_eatl_2006_Fig3b!$D$8</f>
        <v>1.5211267605633798E-11</v>
      </c>
      <c r="AD156" t="s">
        <v>222</v>
      </c>
    </row>
    <row r="157" spans="1:30" x14ac:dyDescent="0.35">
      <c r="A157" t="s">
        <v>194</v>
      </c>
      <c r="B157" t="s">
        <v>195</v>
      </c>
      <c r="C157" t="s">
        <v>204</v>
      </c>
      <c r="D157" t="s">
        <v>200</v>
      </c>
      <c r="E157" t="s">
        <v>19</v>
      </c>
      <c r="F157" t="s">
        <v>43</v>
      </c>
      <c r="G157" t="s">
        <v>404</v>
      </c>
      <c r="H157" t="s">
        <v>404</v>
      </c>
      <c r="I157" t="s">
        <v>376</v>
      </c>
      <c r="K157" t="s">
        <v>406</v>
      </c>
      <c r="L157" t="s">
        <v>406</v>
      </c>
      <c r="M157" t="s">
        <v>406</v>
      </c>
      <c r="R157" t="s">
        <v>279</v>
      </c>
      <c r="S157" t="s">
        <v>220</v>
      </c>
      <c r="T157" t="s">
        <v>258</v>
      </c>
      <c r="U157" t="s">
        <v>281</v>
      </c>
      <c r="W157" s="1">
        <v>2.1000000000000001E-2</v>
      </c>
      <c r="X157" t="s">
        <v>237</v>
      </c>
      <c r="Z157" s="3">
        <f>+(3.1/2)^2*PI()</f>
        <v>7.5476763502494792</v>
      </c>
      <c r="AA157">
        <v>4.4000000000000004</v>
      </c>
      <c r="AD157" t="s">
        <v>245</v>
      </c>
    </row>
    <row r="158" spans="1:30" x14ac:dyDescent="0.35">
      <c r="A158" t="s">
        <v>194</v>
      </c>
      <c r="B158" t="s">
        <v>199</v>
      </c>
      <c r="C158" t="s">
        <v>207</v>
      </c>
      <c r="D158" t="s">
        <v>203</v>
      </c>
      <c r="E158" t="s">
        <v>19</v>
      </c>
      <c r="F158" t="s">
        <v>197</v>
      </c>
      <c r="G158" t="s">
        <v>404</v>
      </c>
      <c r="H158" t="s">
        <v>404</v>
      </c>
      <c r="I158" t="s">
        <v>376</v>
      </c>
      <c r="K158" t="s">
        <v>406</v>
      </c>
      <c r="L158" t="s">
        <v>406</v>
      </c>
      <c r="M158" t="s">
        <v>406</v>
      </c>
      <c r="R158" t="s">
        <v>279</v>
      </c>
      <c r="S158" t="s">
        <v>220</v>
      </c>
      <c r="T158" t="s">
        <v>258</v>
      </c>
      <c r="U158" t="s">
        <v>281</v>
      </c>
      <c r="W158" s="1">
        <v>4.9000000000000002E-2</v>
      </c>
      <c r="X158" t="s">
        <v>237</v>
      </c>
      <c r="Z158" s="3">
        <f>+(4.6/2)^2*PI()</f>
        <v>16.619025137490002</v>
      </c>
      <c r="AA158">
        <v>7.1</v>
      </c>
      <c r="AD158" t="s">
        <v>245</v>
      </c>
    </row>
    <row r="159" spans="1:30" x14ac:dyDescent="0.35">
      <c r="A159" t="s">
        <v>194</v>
      </c>
      <c r="B159" t="s">
        <v>198</v>
      </c>
      <c r="C159" t="s">
        <v>206</v>
      </c>
      <c r="D159" t="s">
        <v>202</v>
      </c>
      <c r="E159" t="s">
        <v>19</v>
      </c>
      <c r="F159" t="s">
        <v>197</v>
      </c>
      <c r="G159" t="s">
        <v>404</v>
      </c>
      <c r="H159" t="s">
        <v>404</v>
      </c>
      <c r="I159" t="s">
        <v>376</v>
      </c>
      <c r="K159" t="s">
        <v>406</v>
      </c>
      <c r="L159" t="s">
        <v>406</v>
      </c>
      <c r="M159" t="s">
        <v>406</v>
      </c>
      <c r="R159" t="s">
        <v>279</v>
      </c>
      <c r="S159" t="s">
        <v>220</v>
      </c>
      <c r="T159" t="s">
        <v>258</v>
      </c>
      <c r="U159" t="s">
        <v>281</v>
      </c>
      <c r="W159" s="1">
        <v>3.2000000000000001E-2</v>
      </c>
      <c r="X159" t="s">
        <v>237</v>
      </c>
      <c r="Z159" s="3">
        <f>+(3.6/2)^2*PI()</f>
        <v>10.178760197630931</v>
      </c>
      <c r="AA159">
        <v>4.5</v>
      </c>
      <c r="AD159" t="s">
        <v>245</v>
      </c>
    </row>
    <row r="160" spans="1:30" x14ac:dyDescent="0.35">
      <c r="A160" t="s">
        <v>194</v>
      </c>
      <c r="B160" t="s">
        <v>196</v>
      </c>
      <c r="C160" t="s">
        <v>205</v>
      </c>
      <c r="D160" t="s">
        <v>201</v>
      </c>
      <c r="E160" t="s">
        <v>19</v>
      </c>
      <c r="F160" t="s">
        <v>197</v>
      </c>
      <c r="G160" t="s">
        <v>404</v>
      </c>
      <c r="H160" t="s">
        <v>404</v>
      </c>
      <c r="I160" t="s">
        <v>376</v>
      </c>
      <c r="K160" t="s">
        <v>406</v>
      </c>
      <c r="L160" t="s">
        <v>406</v>
      </c>
      <c r="M160" t="s">
        <v>406</v>
      </c>
      <c r="R160" t="s">
        <v>279</v>
      </c>
      <c r="S160" t="s">
        <v>220</v>
      </c>
      <c r="T160" t="s">
        <v>258</v>
      </c>
      <c r="U160" t="s">
        <v>281</v>
      </c>
      <c r="W160" s="1">
        <v>4.7E-2</v>
      </c>
      <c r="X160" t="s">
        <v>237</v>
      </c>
      <c r="Z160" s="3">
        <f>+(4.3/2)^2*PI()</f>
        <v>14.522012041218817</v>
      </c>
      <c r="AA160">
        <v>8.6</v>
      </c>
      <c r="AD160" t="s">
        <v>245</v>
      </c>
    </row>
    <row r="161" spans="1:30" x14ac:dyDescent="0.35">
      <c r="A161" t="s">
        <v>356</v>
      </c>
      <c r="B161" t="s">
        <v>9</v>
      </c>
      <c r="C161" t="s">
        <v>21</v>
      </c>
      <c r="D161" t="s">
        <v>22</v>
      </c>
      <c r="E161" t="s">
        <v>19</v>
      </c>
      <c r="F161" t="s">
        <v>23</v>
      </c>
      <c r="G161" t="s">
        <v>365</v>
      </c>
      <c r="H161" t="s">
        <v>403</v>
      </c>
      <c r="I161" t="s">
        <v>376</v>
      </c>
      <c r="K161" t="s">
        <v>406</v>
      </c>
      <c r="L161" t="s">
        <v>406</v>
      </c>
      <c r="M161" t="s">
        <v>406</v>
      </c>
      <c r="R161" t="s">
        <v>279</v>
      </c>
      <c r="S161" t="s">
        <v>220</v>
      </c>
      <c r="T161" t="s">
        <v>258</v>
      </c>
      <c r="U161" t="s">
        <v>281</v>
      </c>
      <c r="W161" s="1">
        <f>+AVERAGE([12]XFT_full_database!$J$535,[12]XFT_full_database!$J$537)*0.001</f>
        <v>3.7000000000000002E-3</v>
      </c>
      <c r="X161" s="1" t="s">
        <v>237</v>
      </c>
      <c r="Z161" s="3"/>
      <c r="AA161">
        <f>+AVERAGE(3,4)</f>
        <v>3.5</v>
      </c>
      <c r="AD161" t="s">
        <v>379</v>
      </c>
    </row>
    <row r="162" spans="1:30" x14ac:dyDescent="0.35">
      <c r="A162" t="s">
        <v>129</v>
      </c>
      <c r="B162" t="s">
        <v>132</v>
      </c>
      <c r="C162" t="s">
        <v>130</v>
      </c>
      <c r="D162" t="s">
        <v>131</v>
      </c>
      <c r="E162" t="s">
        <v>133</v>
      </c>
      <c r="F162" t="s">
        <v>134</v>
      </c>
      <c r="G162" t="s">
        <v>134</v>
      </c>
      <c r="H162" t="s">
        <v>134</v>
      </c>
      <c r="I162" t="s">
        <v>134</v>
      </c>
      <c r="J162">
        <v>45</v>
      </c>
      <c r="K162" t="s">
        <v>406</v>
      </c>
      <c r="L162" t="s">
        <v>406</v>
      </c>
      <c r="M162" t="s">
        <v>406</v>
      </c>
      <c r="R162" t="s">
        <v>279</v>
      </c>
      <c r="S162" t="s">
        <v>128</v>
      </c>
      <c r="T162" t="s">
        <v>215</v>
      </c>
      <c r="U162" t="s">
        <v>281</v>
      </c>
      <c r="V162" s="1">
        <v>1.2000000000000001E-11</v>
      </c>
      <c r="X162" s="1"/>
      <c r="AA162">
        <v>3.6</v>
      </c>
      <c r="AD162" t="s">
        <v>247</v>
      </c>
    </row>
    <row r="163" spans="1:30" x14ac:dyDescent="0.35">
      <c r="A163" t="s">
        <v>129</v>
      </c>
      <c r="B163" t="s">
        <v>132</v>
      </c>
      <c r="C163" t="s">
        <v>130</v>
      </c>
      <c r="D163" t="s">
        <v>131</v>
      </c>
      <c r="E163" t="s">
        <v>133</v>
      </c>
      <c r="F163" t="s">
        <v>134</v>
      </c>
      <c r="G163" t="s">
        <v>134</v>
      </c>
      <c r="H163" t="s">
        <v>134</v>
      </c>
      <c r="I163" t="s">
        <v>134</v>
      </c>
      <c r="J163">
        <v>45</v>
      </c>
      <c r="K163" t="s">
        <v>406</v>
      </c>
      <c r="L163" t="s">
        <v>406</v>
      </c>
      <c r="M163" t="s">
        <v>406</v>
      </c>
      <c r="R163" t="s">
        <v>279</v>
      </c>
      <c r="S163" t="s">
        <v>128</v>
      </c>
      <c r="T163" t="s">
        <v>214</v>
      </c>
      <c r="U163" t="s">
        <v>281</v>
      </c>
      <c r="V163" s="1">
        <v>9.7999999999999998E-11</v>
      </c>
      <c r="X163" s="1"/>
      <c r="AA163">
        <v>3.6</v>
      </c>
      <c r="AD163" t="s">
        <v>247</v>
      </c>
    </row>
    <row r="164" spans="1:30" x14ac:dyDescent="0.35">
      <c r="A164" t="s">
        <v>129</v>
      </c>
      <c r="B164" t="s">
        <v>132</v>
      </c>
      <c r="C164" t="s">
        <v>130</v>
      </c>
      <c r="D164" t="s">
        <v>131</v>
      </c>
      <c r="E164" t="s">
        <v>133</v>
      </c>
      <c r="F164" t="s">
        <v>134</v>
      </c>
      <c r="G164" t="s">
        <v>134</v>
      </c>
      <c r="H164" t="s">
        <v>134</v>
      </c>
      <c r="I164" t="s">
        <v>134</v>
      </c>
      <c r="J164">
        <v>45</v>
      </c>
      <c r="K164" t="s">
        <v>406</v>
      </c>
      <c r="L164" t="s">
        <v>406</v>
      </c>
      <c r="M164" t="s">
        <v>406</v>
      </c>
      <c r="R164" t="s">
        <v>279</v>
      </c>
      <c r="S164" t="s">
        <v>128</v>
      </c>
      <c r="T164" t="s">
        <v>216</v>
      </c>
      <c r="U164" t="s">
        <v>281</v>
      </c>
      <c r="V164" s="1">
        <v>5.4000000000000001E-11</v>
      </c>
      <c r="X164" s="1"/>
      <c r="AA164">
        <v>3.6</v>
      </c>
      <c r="AD164" t="s">
        <v>247</v>
      </c>
    </row>
    <row r="165" spans="1:30" x14ac:dyDescent="0.35">
      <c r="A165" t="s">
        <v>138</v>
      </c>
      <c r="B165" t="s">
        <v>136</v>
      </c>
      <c r="C165" t="s">
        <v>140</v>
      </c>
      <c r="D165" t="s">
        <v>139</v>
      </c>
      <c r="E165" t="s">
        <v>19</v>
      </c>
      <c r="F165" t="s">
        <v>123</v>
      </c>
      <c r="G165" t="s">
        <v>361</v>
      </c>
      <c r="H165" t="s">
        <v>402</v>
      </c>
      <c r="I165" t="s">
        <v>376</v>
      </c>
      <c r="K165" t="s">
        <v>406</v>
      </c>
      <c r="L165" t="s">
        <v>406</v>
      </c>
      <c r="M165" t="s">
        <v>406</v>
      </c>
      <c r="R165" t="s">
        <v>279</v>
      </c>
      <c r="S165" t="s">
        <v>218</v>
      </c>
      <c r="T165" t="s">
        <v>258</v>
      </c>
      <c r="U165" t="s">
        <v>281</v>
      </c>
      <c r="W165" s="1">
        <f>[16]McElrone_eatl_2004_Fig4!C2</f>
        <v>2.2494669509594802E-2</v>
      </c>
      <c r="X165" s="1" t="s">
        <v>242</v>
      </c>
      <c r="AB165" s="3">
        <f>[17]McElrone_eatl_2004_Fig1!B2</f>
        <v>53.542600896861003</v>
      </c>
      <c r="AD165" t="s">
        <v>223</v>
      </c>
    </row>
    <row r="166" spans="1:30" x14ac:dyDescent="0.35">
      <c r="A166" t="s">
        <v>138</v>
      </c>
      <c r="B166" t="s">
        <v>136</v>
      </c>
      <c r="C166" t="s">
        <v>140</v>
      </c>
      <c r="D166" t="s">
        <v>139</v>
      </c>
      <c r="E166" t="s">
        <v>19</v>
      </c>
      <c r="F166" t="s">
        <v>123</v>
      </c>
      <c r="G166" t="s">
        <v>361</v>
      </c>
      <c r="H166" t="s">
        <v>402</v>
      </c>
      <c r="I166" t="s">
        <v>376</v>
      </c>
      <c r="K166" t="s">
        <v>406</v>
      </c>
      <c r="L166" t="s">
        <v>406</v>
      </c>
      <c r="M166" t="s">
        <v>406</v>
      </c>
      <c r="R166" t="s">
        <v>279</v>
      </c>
      <c r="S166" t="s">
        <v>219</v>
      </c>
      <c r="T166" t="s">
        <v>258</v>
      </c>
      <c r="U166" t="s">
        <v>281</v>
      </c>
      <c r="W166" s="1">
        <f>[16]McElrone_eatl_2004_Fig4!C3</f>
        <v>9.3816631130063891E-3</v>
      </c>
      <c r="X166" s="1" t="s">
        <v>242</v>
      </c>
      <c r="AB166" s="3">
        <f>[17]McElrone_eatl_2004_Fig1!B3</f>
        <v>43.587443946188301</v>
      </c>
      <c r="AD166" t="s">
        <v>223</v>
      </c>
    </row>
    <row r="167" spans="1:30" x14ac:dyDescent="0.35">
      <c r="A167" t="s">
        <v>138</v>
      </c>
      <c r="B167" t="s">
        <v>137</v>
      </c>
      <c r="C167" t="s">
        <v>27</v>
      </c>
      <c r="D167" t="s">
        <v>18</v>
      </c>
      <c r="E167" t="s">
        <v>19</v>
      </c>
      <c r="F167" t="s">
        <v>123</v>
      </c>
      <c r="G167" t="s">
        <v>361</v>
      </c>
      <c r="H167" t="s">
        <v>402</v>
      </c>
      <c r="I167" t="s">
        <v>376</v>
      </c>
      <c r="K167" t="s">
        <v>406</v>
      </c>
      <c r="L167" t="s">
        <v>406</v>
      </c>
      <c r="M167" t="s">
        <v>406</v>
      </c>
      <c r="R167" t="s">
        <v>279</v>
      </c>
      <c r="S167" t="s">
        <v>218</v>
      </c>
      <c r="T167" t="s">
        <v>258</v>
      </c>
      <c r="U167" t="s">
        <v>281</v>
      </c>
      <c r="W167" s="1">
        <f>[16]McElrone_eatl_2004_Fig4!C4</f>
        <v>4.2537313432835802E-2</v>
      </c>
      <c r="X167" s="1" t="s">
        <v>242</v>
      </c>
      <c r="AB167" s="3">
        <f>[17]McElrone_eatl_2004_Fig1!B4</f>
        <v>96.591928251121004</v>
      </c>
      <c r="AD167" t="s">
        <v>223</v>
      </c>
    </row>
    <row r="168" spans="1:30" x14ac:dyDescent="0.35">
      <c r="A168" t="s">
        <v>138</v>
      </c>
      <c r="B168" t="s">
        <v>137</v>
      </c>
      <c r="C168" t="s">
        <v>27</v>
      </c>
      <c r="D168" t="s">
        <v>18</v>
      </c>
      <c r="E168" t="s">
        <v>19</v>
      </c>
      <c r="F168" t="s">
        <v>123</v>
      </c>
      <c r="G168" t="s">
        <v>361</v>
      </c>
      <c r="H168" t="s">
        <v>402</v>
      </c>
      <c r="I168" t="s">
        <v>376</v>
      </c>
      <c r="K168" t="s">
        <v>406</v>
      </c>
      <c r="L168" t="s">
        <v>406</v>
      </c>
      <c r="M168" t="s">
        <v>406</v>
      </c>
      <c r="R168" t="s">
        <v>279</v>
      </c>
      <c r="S168" t="s">
        <v>219</v>
      </c>
      <c r="T168" t="s">
        <v>258</v>
      </c>
      <c r="U168" t="s">
        <v>281</v>
      </c>
      <c r="W168" s="1">
        <f>[16]McElrone_eatl_2004_Fig4!C5</f>
        <v>1.5245202558635401E-2</v>
      </c>
      <c r="X168" s="1" t="s">
        <v>242</v>
      </c>
      <c r="AB168" s="3">
        <f>[17]McElrone_eatl_2004_Fig1!B5</f>
        <v>62.690582959641198</v>
      </c>
      <c r="AD168" t="s">
        <v>223</v>
      </c>
    </row>
    <row r="169" spans="1:30" x14ac:dyDescent="0.35">
      <c r="A169" t="s">
        <v>138</v>
      </c>
      <c r="B169" t="s">
        <v>135</v>
      </c>
      <c r="C169" t="s">
        <v>110</v>
      </c>
      <c r="D169" t="s">
        <v>127</v>
      </c>
      <c r="E169" t="s">
        <v>19</v>
      </c>
      <c r="F169" t="s">
        <v>23</v>
      </c>
      <c r="G169" t="s">
        <v>365</v>
      </c>
      <c r="H169" t="s">
        <v>403</v>
      </c>
      <c r="I169" t="s">
        <v>376</v>
      </c>
      <c r="K169" t="s">
        <v>406</v>
      </c>
      <c r="L169" t="s">
        <v>406</v>
      </c>
      <c r="M169" t="s">
        <v>406</v>
      </c>
      <c r="R169" t="s">
        <v>279</v>
      </c>
      <c r="S169" t="s">
        <v>218</v>
      </c>
      <c r="T169" t="s">
        <v>258</v>
      </c>
      <c r="U169" t="s">
        <v>281</v>
      </c>
      <c r="W169" s="1">
        <f>[16]McElrone_eatl_2004_Fig4!C6</f>
        <v>1.7303370786516802E-3</v>
      </c>
      <c r="X169" s="1" t="s">
        <v>242</v>
      </c>
      <c r="AB169" s="3">
        <f>[17]McElrone_eatl_2004_Fig1!B6</f>
        <v>22.062780269058301</v>
      </c>
      <c r="AD169" t="s">
        <v>223</v>
      </c>
    </row>
    <row r="170" spans="1:30" x14ac:dyDescent="0.35">
      <c r="A170" t="s">
        <v>138</v>
      </c>
      <c r="B170" t="s">
        <v>135</v>
      </c>
      <c r="C170" t="s">
        <v>110</v>
      </c>
      <c r="D170" t="s">
        <v>127</v>
      </c>
      <c r="E170" t="s">
        <v>19</v>
      </c>
      <c r="F170" t="s">
        <v>23</v>
      </c>
      <c r="G170" t="s">
        <v>365</v>
      </c>
      <c r="H170" t="s">
        <v>403</v>
      </c>
      <c r="I170" t="s">
        <v>376</v>
      </c>
      <c r="K170" t="s">
        <v>406</v>
      </c>
      <c r="L170" t="s">
        <v>406</v>
      </c>
      <c r="M170" t="s">
        <v>406</v>
      </c>
      <c r="R170" t="s">
        <v>279</v>
      </c>
      <c r="S170" t="s">
        <v>219</v>
      </c>
      <c r="T170" t="s">
        <v>258</v>
      </c>
      <c r="U170" t="s">
        <v>281</v>
      </c>
      <c r="W170" s="1">
        <f>[16]McElrone_eatl_2004_Fig4!C7</f>
        <v>1.4662921348314599E-3</v>
      </c>
      <c r="X170" s="1" t="s">
        <v>242</v>
      </c>
      <c r="AB170" s="3">
        <f>[17]McElrone_eatl_2004_Fig1!B7</f>
        <v>16.143497757847499</v>
      </c>
      <c r="AD170" t="s">
        <v>223</v>
      </c>
    </row>
    <row r="171" spans="1:30" x14ac:dyDescent="0.35">
      <c r="A171" t="s">
        <v>357</v>
      </c>
      <c r="B171" t="s">
        <v>264</v>
      </c>
      <c r="C171" t="s">
        <v>89</v>
      </c>
      <c r="D171" t="s">
        <v>22</v>
      </c>
      <c r="E171" t="s">
        <v>19</v>
      </c>
      <c r="F171" t="s">
        <v>23</v>
      </c>
      <c r="G171" t="s">
        <v>365</v>
      </c>
      <c r="H171" t="s">
        <v>403</v>
      </c>
      <c r="I171" t="s">
        <v>376</v>
      </c>
      <c r="K171" t="s">
        <v>389</v>
      </c>
      <c r="L171" t="s">
        <v>369</v>
      </c>
      <c r="M171" t="s">
        <v>398</v>
      </c>
      <c r="R171" t="s">
        <v>279</v>
      </c>
      <c r="S171" t="s">
        <v>220</v>
      </c>
      <c r="T171" t="s">
        <v>258</v>
      </c>
      <c r="U171" t="s">
        <v>281</v>
      </c>
      <c r="W171" s="1">
        <v>4.8999999999999998E-3</v>
      </c>
      <c r="X171" s="1" t="s">
        <v>237</v>
      </c>
      <c r="Z171" s="3">
        <f>+(2/2)^2*PI()</f>
        <v>3.1415926535897931</v>
      </c>
      <c r="AA171">
        <v>3.3</v>
      </c>
      <c r="AB171" s="3"/>
      <c r="AD171" t="s">
        <v>358</v>
      </c>
    </row>
    <row r="172" spans="1:30" x14ac:dyDescent="0.35">
      <c r="A172" t="s">
        <v>357</v>
      </c>
      <c r="B172" t="s">
        <v>264</v>
      </c>
      <c r="C172" t="s">
        <v>89</v>
      </c>
      <c r="D172" t="s">
        <v>22</v>
      </c>
      <c r="E172" t="s">
        <v>19</v>
      </c>
      <c r="F172" t="s">
        <v>23</v>
      </c>
      <c r="G172" t="s">
        <v>365</v>
      </c>
      <c r="H172" t="s">
        <v>403</v>
      </c>
      <c r="I172" t="s">
        <v>376</v>
      </c>
      <c r="K172" t="s">
        <v>389</v>
      </c>
      <c r="L172" t="s">
        <v>371</v>
      </c>
      <c r="M172" t="s">
        <v>398</v>
      </c>
      <c r="R172" t="s">
        <v>279</v>
      </c>
      <c r="S172" t="s">
        <v>220</v>
      </c>
      <c r="T172" t="s">
        <v>258</v>
      </c>
      <c r="U172" t="s">
        <v>281</v>
      </c>
      <c r="W172" s="1">
        <v>4.1999999999999997E-3</v>
      </c>
      <c r="X172" s="1" t="s">
        <v>237</v>
      </c>
      <c r="Z172" s="3">
        <f t="shared" ref="Z172:Z174" si="13">+(2/2)^2*PI()</f>
        <v>3.1415926535897931</v>
      </c>
      <c r="AA172">
        <v>3.4</v>
      </c>
      <c r="AB172" s="3"/>
      <c r="AD172" t="s">
        <v>358</v>
      </c>
    </row>
    <row r="173" spans="1:30" x14ac:dyDescent="0.35">
      <c r="A173" t="s">
        <v>357</v>
      </c>
      <c r="B173" t="s">
        <v>264</v>
      </c>
      <c r="C173" t="s">
        <v>89</v>
      </c>
      <c r="D173" t="s">
        <v>22</v>
      </c>
      <c r="E173" t="s">
        <v>19</v>
      </c>
      <c r="F173" t="s">
        <v>23</v>
      </c>
      <c r="G173" t="s">
        <v>365</v>
      </c>
      <c r="H173" t="s">
        <v>403</v>
      </c>
      <c r="I173" t="s">
        <v>376</v>
      </c>
      <c r="K173" t="s">
        <v>389</v>
      </c>
      <c r="L173" t="s">
        <v>370</v>
      </c>
      <c r="M173" t="s">
        <v>398</v>
      </c>
      <c r="R173" t="s">
        <v>279</v>
      </c>
      <c r="S173" t="s">
        <v>220</v>
      </c>
      <c r="T173" t="s">
        <v>258</v>
      </c>
      <c r="U173" t="s">
        <v>281</v>
      </c>
      <c r="W173" s="1">
        <v>3.7000000000000002E-3</v>
      </c>
      <c r="X173" s="1" t="s">
        <v>237</v>
      </c>
      <c r="Z173" s="3">
        <f>+(2.1/2)^2*PI()</f>
        <v>3.4636059005827469</v>
      </c>
      <c r="AA173">
        <v>3.5</v>
      </c>
      <c r="AB173" s="3"/>
      <c r="AD173" t="s">
        <v>358</v>
      </c>
    </row>
    <row r="174" spans="1:30" x14ac:dyDescent="0.35">
      <c r="A174" t="s">
        <v>357</v>
      </c>
      <c r="B174" t="s">
        <v>9</v>
      </c>
      <c r="C174" t="s">
        <v>21</v>
      </c>
      <c r="D174" t="s">
        <v>22</v>
      </c>
      <c r="E174" t="s">
        <v>19</v>
      </c>
      <c r="F174" t="s">
        <v>23</v>
      </c>
      <c r="G174" t="s">
        <v>365</v>
      </c>
      <c r="H174" t="s">
        <v>403</v>
      </c>
      <c r="I174" t="s">
        <v>376</v>
      </c>
      <c r="K174" t="s">
        <v>389</v>
      </c>
      <c r="L174" t="s">
        <v>369</v>
      </c>
      <c r="M174" t="s">
        <v>398</v>
      </c>
      <c r="R174" t="s">
        <v>279</v>
      </c>
      <c r="S174" t="s">
        <v>220</v>
      </c>
      <c r="T174" t="s">
        <v>258</v>
      </c>
      <c r="U174" t="s">
        <v>281</v>
      </c>
      <c r="W174" s="1">
        <v>4.0000000000000001E-3</v>
      </c>
      <c r="X174" s="1" t="s">
        <v>237</v>
      </c>
      <c r="Z174" s="3">
        <f t="shared" si="13"/>
        <v>3.1415926535897931</v>
      </c>
      <c r="AA174">
        <v>3.6</v>
      </c>
      <c r="AB174" s="3"/>
      <c r="AD174" t="s">
        <v>358</v>
      </c>
    </row>
    <row r="175" spans="1:30" x14ac:dyDescent="0.35">
      <c r="A175" t="s">
        <v>357</v>
      </c>
      <c r="B175" t="s">
        <v>9</v>
      </c>
      <c r="C175" t="s">
        <v>21</v>
      </c>
      <c r="D175" t="s">
        <v>22</v>
      </c>
      <c r="E175" t="s">
        <v>19</v>
      </c>
      <c r="F175" t="s">
        <v>23</v>
      </c>
      <c r="G175" t="s">
        <v>365</v>
      </c>
      <c r="H175" t="s">
        <v>403</v>
      </c>
      <c r="I175" t="s">
        <v>376</v>
      </c>
      <c r="K175" t="s">
        <v>389</v>
      </c>
      <c r="L175" t="s">
        <v>370</v>
      </c>
      <c r="M175" t="s">
        <v>398</v>
      </c>
      <c r="R175" t="s">
        <v>279</v>
      </c>
      <c r="S175" t="s">
        <v>220</v>
      </c>
      <c r="T175" t="s">
        <v>258</v>
      </c>
      <c r="U175" t="s">
        <v>281</v>
      </c>
      <c r="W175" s="1">
        <v>3.3999999999999998E-3</v>
      </c>
      <c r="X175" s="1" t="s">
        <v>237</v>
      </c>
      <c r="Z175" s="3">
        <f>+(1.9/2)^2*PI()</f>
        <v>2.8352873698647882</v>
      </c>
      <c r="AA175">
        <v>3.6</v>
      </c>
      <c r="AB175" s="3"/>
      <c r="AD175" t="s">
        <v>358</v>
      </c>
    </row>
    <row r="176" spans="1:30" x14ac:dyDescent="0.35">
      <c r="A176" t="s">
        <v>141</v>
      </c>
      <c r="B176" t="s">
        <v>142</v>
      </c>
      <c r="C176" t="s">
        <v>89</v>
      </c>
      <c r="D176" t="s">
        <v>22</v>
      </c>
      <c r="E176" t="s">
        <v>19</v>
      </c>
      <c r="F176" t="s">
        <v>23</v>
      </c>
      <c r="G176" t="s">
        <v>365</v>
      </c>
      <c r="H176" t="s">
        <v>403</v>
      </c>
      <c r="I176" t="s">
        <v>376</v>
      </c>
      <c r="K176" t="s">
        <v>406</v>
      </c>
      <c r="L176" t="s">
        <v>406</v>
      </c>
      <c r="M176" t="s">
        <v>406</v>
      </c>
      <c r="R176" t="s">
        <v>279</v>
      </c>
      <c r="S176" t="s">
        <v>248</v>
      </c>
      <c r="T176" t="s">
        <v>258</v>
      </c>
      <c r="U176" t="s">
        <v>281</v>
      </c>
      <c r="W176" s="1">
        <v>8.9300000000000002E-4</v>
      </c>
      <c r="X176" s="1" t="s">
        <v>237</v>
      </c>
      <c r="Y176" s="3"/>
      <c r="AA176">
        <v>7</v>
      </c>
      <c r="AB176" s="3">
        <v>34</v>
      </c>
      <c r="AD176" t="s">
        <v>223</v>
      </c>
    </row>
    <row r="177" spans="1:30" x14ac:dyDescent="0.35">
      <c r="A177" t="s">
        <v>141</v>
      </c>
      <c r="B177" t="s">
        <v>143</v>
      </c>
      <c r="C177" t="s">
        <v>89</v>
      </c>
      <c r="D177" t="s">
        <v>22</v>
      </c>
      <c r="E177" t="s">
        <v>19</v>
      </c>
      <c r="F177" t="s">
        <v>23</v>
      </c>
      <c r="G177" t="s">
        <v>365</v>
      </c>
      <c r="H177" t="s">
        <v>403</v>
      </c>
      <c r="I177" t="s">
        <v>376</v>
      </c>
      <c r="K177" t="s">
        <v>406</v>
      </c>
      <c r="L177" t="s">
        <v>406</v>
      </c>
      <c r="M177" t="s">
        <v>406</v>
      </c>
      <c r="R177" t="s">
        <v>279</v>
      </c>
      <c r="S177" t="s">
        <v>248</v>
      </c>
      <c r="T177" t="s">
        <v>258</v>
      </c>
      <c r="U177" t="s">
        <v>281</v>
      </c>
      <c r="W177" s="1">
        <v>1.6999999999999999E-3</v>
      </c>
      <c r="X177" s="1" t="s">
        <v>237</v>
      </c>
      <c r="Y177" s="3"/>
      <c r="AA177">
        <v>7</v>
      </c>
      <c r="AB177">
        <v>40.6</v>
      </c>
      <c r="AD177" t="s">
        <v>223</v>
      </c>
    </row>
    <row r="178" spans="1:30" x14ac:dyDescent="0.35">
      <c r="A178" t="s">
        <v>141</v>
      </c>
      <c r="B178" t="s">
        <v>144</v>
      </c>
      <c r="C178" t="s">
        <v>146</v>
      </c>
      <c r="D178" t="s">
        <v>145</v>
      </c>
      <c r="E178" t="s">
        <v>19</v>
      </c>
      <c r="F178" t="s">
        <v>23</v>
      </c>
      <c r="G178" t="s">
        <v>365</v>
      </c>
      <c r="H178" t="s">
        <v>403</v>
      </c>
      <c r="I178" t="s">
        <v>376</v>
      </c>
      <c r="K178" t="s">
        <v>406</v>
      </c>
      <c r="L178" t="s">
        <v>406</v>
      </c>
      <c r="M178" t="s">
        <v>406</v>
      </c>
      <c r="R178" t="s">
        <v>279</v>
      </c>
      <c r="S178" t="s">
        <v>248</v>
      </c>
      <c r="T178" t="s">
        <v>258</v>
      </c>
      <c r="U178" t="s">
        <v>281</v>
      </c>
      <c r="W178" s="1">
        <v>6.5799999999999995E-4</v>
      </c>
      <c r="X178" s="1" t="s">
        <v>237</v>
      </c>
      <c r="Y178" s="3"/>
      <c r="AA178">
        <v>7</v>
      </c>
      <c r="AB178">
        <v>30.5</v>
      </c>
      <c r="AD178" t="s">
        <v>223</v>
      </c>
    </row>
    <row r="179" spans="1:30" x14ac:dyDescent="0.35">
      <c r="A179" t="s">
        <v>255</v>
      </c>
      <c r="B179" t="s">
        <v>253</v>
      </c>
      <c r="C179" t="s">
        <v>254</v>
      </c>
      <c r="D179" t="s">
        <v>165</v>
      </c>
      <c r="E179" t="s">
        <v>19</v>
      </c>
      <c r="F179" t="s">
        <v>20</v>
      </c>
      <c r="G179" t="s">
        <v>405</v>
      </c>
      <c r="H179" t="s">
        <v>402</v>
      </c>
      <c r="I179" t="s">
        <v>376</v>
      </c>
      <c r="K179" t="s">
        <v>406</v>
      </c>
      <c r="L179" t="s">
        <v>406</v>
      </c>
      <c r="M179" t="s">
        <v>406</v>
      </c>
      <c r="R179" t="s">
        <v>278</v>
      </c>
      <c r="S179" t="s">
        <v>243</v>
      </c>
      <c r="T179" t="s">
        <v>258</v>
      </c>
      <c r="U179" t="s">
        <v>281</v>
      </c>
      <c r="V179" s="1">
        <f>[18]Vercambre_etal_2002_Fig6!D25</f>
        <v>1.38E-11</v>
      </c>
      <c r="W179" s="1"/>
      <c r="X179" s="1" t="s">
        <v>242</v>
      </c>
      <c r="Y179" s="3"/>
      <c r="AA179" s="2">
        <f>[18]Vercambre_etal_2002_Fig6!C25</f>
        <v>0.199651955288592</v>
      </c>
      <c r="AD179" t="s">
        <v>222</v>
      </c>
    </row>
    <row r="180" spans="1:30" x14ac:dyDescent="0.35">
      <c r="A180" t="s">
        <v>255</v>
      </c>
      <c r="B180" t="s">
        <v>253</v>
      </c>
      <c r="C180" t="s">
        <v>254</v>
      </c>
      <c r="D180" t="s">
        <v>165</v>
      </c>
      <c r="E180" t="s">
        <v>19</v>
      </c>
      <c r="F180" t="s">
        <v>20</v>
      </c>
      <c r="G180" t="s">
        <v>405</v>
      </c>
      <c r="H180" t="s">
        <v>402</v>
      </c>
      <c r="I180" t="s">
        <v>376</v>
      </c>
      <c r="K180" t="s">
        <v>406</v>
      </c>
      <c r="L180" t="s">
        <v>406</v>
      </c>
      <c r="M180" t="s">
        <v>406</v>
      </c>
      <c r="R180" t="s">
        <v>279</v>
      </c>
      <c r="S180" t="s">
        <v>243</v>
      </c>
      <c r="T180" t="s">
        <v>258</v>
      </c>
      <c r="U180" t="s">
        <v>281</v>
      </c>
      <c r="V180" s="1">
        <f>[18]Vercambre_etal_2002_Fig6!D26</f>
        <v>1.2081430243643154E-10</v>
      </c>
      <c r="W180" s="1"/>
      <c r="X180" s="1" t="s">
        <v>242</v>
      </c>
      <c r="Y180" s="3"/>
      <c r="AA180" s="2">
        <f>[18]Vercambre_etal_2002_Fig6!C26</f>
        <v>0.82897532813538899</v>
      </c>
      <c r="AD180" t="s">
        <v>222</v>
      </c>
    </row>
    <row r="181" spans="1:30" x14ac:dyDescent="0.35">
      <c r="A181" t="s">
        <v>255</v>
      </c>
      <c r="B181" t="s">
        <v>253</v>
      </c>
      <c r="C181" t="s">
        <v>254</v>
      </c>
      <c r="D181" t="s">
        <v>165</v>
      </c>
      <c r="E181" t="s">
        <v>19</v>
      </c>
      <c r="F181" t="s">
        <v>20</v>
      </c>
      <c r="G181" t="s">
        <v>405</v>
      </c>
      <c r="H181" t="s">
        <v>402</v>
      </c>
      <c r="I181" t="s">
        <v>376</v>
      </c>
      <c r="K181" t="s">
        <v>406</v>
      </c>
      <c r="L181" t="s">
        <v>406</v>
      </c>
      <c r="M181" t="s">
        <v>406</v>
      </c>
      <c r="R181" t="s">
        <v>280</v>
      </c>
      <c r="S181" t="s">
        <v>243</v>
      </c>
      <c r="T181" t="s">
        <v>258</v>
      </c>
      <c r="U181" t="s">
        <v>281</v>
      </c>
      <c r="V181" s="1">
        <f>[18]Vercambre_etal_2002_Fig6!D27</f>
        <v>8.2831331063477403E-10</v>
      </c>
      <c r="W181" s="1"/>
      <c r="X181" s="1" t="s">
        <v>242</v>
      </c>
      <c r="Y181" s="3"/>
      <c r="AA181" s="2">
        <f>[18]Vercambre_etal_2002_Fig6!C27</f>
        <v>2.3022963357017399</v>
      </c>
      <c r="AD181" t="s">
        <v>222</v>
      </c>
    </row>
    <row r="182" spans="1:30" x14ac:dyDescent="0.35">
      <c r="A182" t="s">
        <v>255</v>
      </c>
      <c r="B182" t="s">
        <v>253</v>
      </c>
      <c r="C182" t="s">
        <v>254</v>
      </c>
      <c r="D182" t="s">
        <v>165</v>
      </c>
      <c r="E182" t="s">
        <v>19</v>
      </c>
      <c r="F182" t="s">
        <v>20</v>
      </c>
      <c r="G182" t="s">
        <v>405</v>
      </c>
      <c r="H182" t="s">
        <v>402</v>
      </c>
      <c r="I182" t="s">
        <v>376</v>
      </c>
      <c r="K182" t="s">
        <v>406</v>
      </c>
      <c r="L182" t="s">
        <v>406</v>
      </c>
      <c r="M182" t="s">
        <v>406</v>
      </c>
      <c r="R182" t="s">
        <v>278</v>
      </c>
      <c r="S182" t="s">
        <v>244</v>
      </c>
      <c r="T182" t="s">
        <v>258</v>
      </c>
      <c r="U182" t="s">
        <v>281</v>
      </c>
      <c r="V182" s="1">
        <f>[18]Vercambre_etal_2002_Fig6!D35</f>
        <v>1.08457834986939E-8</v>
      </c>
      <c r="W182" s="1"/>
      <c r="X182" s="1" t="s">
        <v>242</v>
      </c>
      <c r="Y182" s="3"/>
      <c r="AA182" s="2">
        <f>[18]Vercambre_etal_2002_Fig6!C35</f>
        <v>3.8166128804609998</v>
      </c>
      <c r="AD182" t="s">
        <v>222</v>
      </c>
    </row>
    <row r="183" spans="1:30" x14ac:dyDescent="0.35">
      <c r="A183" t="s">
        <v>255</v>
      </c>
      <c r="B183" t="s">
        <v>253</v>
      </c>
      <c r="C183" t="s">
        <v>254</v>
      </c>
      <c r="D183" t="s">
        <v>165</v>
      </c>
      <c r="E183" t="s">
        <v>19</v>
      </c>
      <c r="F183" t="s">
        <v>20</v>
      </c>
      <c r="G183" t="s">
        <v>405</v>
      </c>
      <c r="H183" t="s">
        <v>402</v>
      </c>
      <c r="I183" t="s">
        <v>376</v>
      </c>
      <c r="K183" t="s">
        <v>406</v>
      </c>
      <c r="L183" t="s">
        <v>406</v>
      </c>
      <c r="M183" t="s">
        <v>406</v>
      </c>
      <c r="R183" t="s">
        <v>279</v>
      </c>
      <c r="S183" t="s">
        <v>244</v>
      </c>
      <c r="T183" t="s">
        <v>258</v>
      </c>
      <c r="U183" t="s">
        <v>281</v>
      </c>
      <c r="V183" s="1">
        <f>[18]Vercambre_etal_2002_Fig6!D36</f>
        <v>9.8962418899232349E-8</v>
      </c>
      <c r="W183" s="1"/>
      <c r="X183" s="1" t="s">
        <v>242</v>
      </c>
      <c r="Y183" s="3"/>
      <c r="AA183" s="2">
        <f>[18]Vercambre_etal_2002_Fig6!C36</f>
        <v>8.2271078079034847</v>
      </c>
      <c r="AD183" t="s">
        <v>222</v>
      </c>
    </row>
    <row r="184" spans="1:30" x14ac:dyDescent="0.35">
      <c r="A184" t="s">
        <v>255</v>
      </c>
      <c r="B184" t="s">
        <v>253</v>
      </c>
      <c r="C184" t="s">
        <v>254</v>
      </c>
      <c r="D184" t="s">
        <v>165</v>
      </c>
      <c r="E184" t="s">
        <v>19</v>
      </c>
      <c r="F184" t="s">
        <v>20</v>
      </c>
      <c r="G184" t="s">
        <v>405</v>
      </c>
      <c r="H184" t="s">
        <v>402</v>
      </c>
      <c r="I184" t="s">
        <v>376</v>
      </c>
      <c r="K184" t="s">
        <v>406</v>
      </c>
      <c r="L184" t="s">
        <v>406</v>
      </c>
      <c r="M184" t="s">
        <v>406</v>
      </c>
      <c r="R184" t="s">
        <v>280</v>
      </c>
      <c r="S184" t="s">
        <v>244</v>
      </c>
      <c r="T184" t="s">
        <v>258</v>
      </c>
      <c r="U184" t="s">
        <v>281</v>
      </c>
      <c r="V184" s="1">
        <f>[18]Vercambre_etal_2002_Fig6!D37</f>
        <v>5.7400000000000003E-7</v>
      </c>
      <c r="W184" s="1"/>
      <c r="X184" s="1" t="s">
        <v>242</v>
      </c>
      <c r="Y184" s="3"/>
      <c r="AA184" s="2">
        <f>[18]Vercambre_etal_2002_Fig6!C37</f>
        <v>14.624879010504101</v>
      </c>
      <c r="AD184" t="s">
        <v>222</v>
      </c>
    </row>
    <row r="185" spans="1:30" x14ac:dyDescent="0.35">
      <c r="A185" t="s">
        <v>147</v>
      </c>
      <c r="B185" t="s">
        <v>148</v>
      </c>
      <c r="C185" t="s">
        <v>110</v>
      </c>
      <c r="D185" t="s">
        <v>145</v>
      </c>
      <c r="E185" t="s">
        <v>19</v>
      </c>
      <c r="F185" t="s">
        <v>23</v>
      </c>
      <c r="G185" t="s">
        <v>365</v>
      </c>
      <c r="H185" t="s">
        <v>403</v>
      </c>
      <c r="I185" t="s">
        <v>376</v>
      </c>
      <c r="K185" t="s">
        <v>406</v>
      </c>
      <c r="L185" t="s">
        <v>406</v>
      </c>
      <c r="M185" t="s">
        <v>406</v>
      </c>
      <c r="R185" t="s">
        <v>279</v>
      </c>
      <c r="S185" t="s">
        <v>167</v>
      </c>
      <c r="T185" t="s">
        <v>258</v>
      </c>
      <c r="U185" t="s">
        <v>281</v>
      </c>
      <c r="W185" s="1">
        <f>'[19]Martinez-Villalta_Fig3a'!B2</f>
        <v>1.2595419847328199E-3</v>
      </c>
      <c r="X185" s="1" t="s">
        <v>237</v>
      </c>
      <c r="Y185" s="3"/>
      <c r="AA185">
        <v>6.6</v>
      </c>
      <c r="AB185">
        <f>'[20]Martinez-Villalta_eatl_2002_Fig'!B2</f>
        <v>15.499999999999901</v>
      </c>
      <c r="AD185" t="s">
        <v>223</v>
      </c>
    </row>
    <row r="186" spans="1:30" x14ac:dyDescent="0.35">
      <c r="A186" t="s">
        <v>147</v>
      </c>
      <c r="B186" t="s">
        <v>149</v>
      </c>
      <c r="C186" t="s">
        <v>166</v>
      </c>
      <c r="D186" t="s">
        <v>157</v>
      </c>
      <c r="E186" t="s">
        <v>19</v>
      </c>
      <c r="F186" t="s">
        <v>123</v>
      </c>
      <c r="G186" t="s">
        <v>361</v>
      </c>
      <c r="H186" t="s">
        <v>402</v>
      </c>
      <c r="I186" t="s">
        <v>376</v>
      </c>
      <c r="K186" t="s">
        <v>406</v>
      </c>
      <c r="L186" t="s">
        <v>406</v>
      </c>
      <c r="M186" t="s">
        <v>406</v>
      </c>
      <c r="R186" t="s">
        <v>279</v>
      </c>
      <c r="S186" t="s">
        <v>167</v>
      </c>
      <c r="T186" t="s">
        <v>258</v>
      </c>
      <c r="U186" t="s">
        <v>281</v>
      </c>
      <c r="W186" s="1">
        <f>'[19]Martinez-Villalta_Fig3a'!B3</f>
        <v>2.79898218829517E-4</v>
      </c>
      <c r="X186" s="1" t="s">
        <v>237</v>
      </c>
      <c r="Y186" s="3"/>
      <c r="AA186">
        <v>6.6</v>
      </c>
      <c r="AB186">
        <f>'[20]Martinez-Villalta_eatl_2002_Fig'!B3</f>
        <v>20.249999999999901</v>
      </c>
      <c r="AD186" t="s">
        <v>223</v>
      </c>
    </row>
    <row r="187" spans="1:30" x14ac:dyDescent="0.35">
      <c r="A187" t="s">
        <v>147</v>
      </c>
      <c r="B187" t="s">
        <v>150</v>
      </c>
      <c r="C187" t="s">
        <v>163</v>
      </c>
      <c r="D187" t="s">
        <v>158</v>
      </c>
      <c r="E187" t="s">
        <v>19</v>
      </c>
      <c r="F187" t="s">
        <v>123</v>
      </c>
      <c r="G187" t="s">
        <v>361</v>
      </c>
      <c r="H187" t="s">
        <v>402</v>
      </c>
      <c r="I187" t="s">
        <v>376</v>
      </c>
      <c r="K187" t="s">
        <v>406</v>
      </c>
      <c r="L187" t="s">
        <v>406</v>
      </c>
      <c r="M187" t="s">
        <v>406</v>
      </c>
      <c r="R187" t="s">
        <v>279</v>
      </c>
      <c r="S187" t="s">
        <v>167</v>
      </c>
      <c r="T187" t="s">
        <v>258</v>
      </c>
      <c r="U187" t="s">
        <v>281</v>
      </c>
      <c r="W187" s="1">
        <f>'[19]Martinez-Villalta_Fig3a'!B4</f>
        <v>1.90839694656488E-3</v>
      </c>
      <c r="X187" s="1" t="s">
        <v>237</v>
      </c>
      <c r="Y187" s="3"/>
      <c r="AA187">
        <v>6.6</v>
      </c>
      <c r="AB187">
        <f>'[20]Martinez-Villalta_eatl_2002_Fig'!B4</f>
        <v>25.5</v>
      </c>
      <c r="AD187" t="s">
        <v>223</v>
      </c>
    </row>
    <row r="188" spans="1:30" x14ac:dyDescent="0.35">
      <c r="A188" t="s">
        <v>147</v>
      </c>
      <c r="B188" t="s">
        <v>151</v>
      </c>
      <c r="C188" t="s">
        <v>160</v>
      </c>
      <c r="D188" t="s">
        <v>159</v>
      </c>
      <c r="E188" t="s">
        <v>19</v>
      </c>
      <c r="F188" s="4" t="s">
        <v>75</v>
      </c>
      <c r="G188" t="s">
        <v>74</v>
      </c>
      <c r="H188" t="s">
        <v>74</v>
      </c>
      <c r="I188" t="s">
        <v>74</v>
      </c>
      <c r="K188" t="s">
        <v>406</v>
      </c>
      <c r="L188" t="s">
        <v>406</v>
      </c>
      <c r="M188" t="s">
        <v>406</v>
      </c>
      <c r="R188" t="s">
        <v>279</v>
      </c>
      <c r="S188" t="s">
        <v>167</v>
      </c>
      <c r="T188" t="s">
        <v>258</v>
      </c>
      <c r="U188" t="s">
        <v>281</v>
      </c>
      <c r="W188" s="1">
        <f>'[19]Martinez-Villalta_Fig3a'!B5</f>
        <v>1.5012722646310401E-3</v>
      </c>
      <c r="X188" s="1" t="s">
        <v>237</v>
      </c>
      <c r="Y188" s="3"/>
      <c r="AA188">
        <v>6.6</v>
      </c>
      <c r="AB188">
        <f>'[20]Martinez-Villalta_eatl_2002_Fig'!B5</f>
        <v>27.25</v>
      </c>
      <c r="AD188" t="s">
        <v>223</v>
      </c>
    </row>
    <row r="189" spans="1:30" x14ac:dyDescent="0.35">
      <c r="A189" t="s">
        <v>147</v>
      </c>
      <c r="B189" t="s">
        <v>152</v>
      </c>
      <c r="C189" t="s">
        <v>160</v>
      </c>
      <c r="D189" t="s">
        <v>159</v>
      </c>
      <c r="E189" t="s">
        <v>19</v>
      </c>
      <c r="F189" s="4" t="s">
        <v>75</v>
      </c>
      <c r="G189" t="s">
        <v>74</v>
      </c>
      <c r="H189" t="s">
        <v>74</v>
      </c>
      <c r="I189" t="s">
        <v>74</v>
      </c>
      <c r="K189" t="s">
        <v>406</v>
      </c>
      <c r="L189" t="s">
        <v>406</v>
      </c>
      <c r="M189" t="s">
        <v>406</v>
      </c>
      <c r="R189" t="s">
        <v>279</v>
      </c>
      <c r="S189" t="s">
        <v>167</v>
      </c>
      <c r="T189" t="s">
        <v>258</v>
      </c>
      <c r="U189" t="s">
        <v>281</v>
      </c>
      <c r="W189" s="1">
        <f>'[19]Martinez-Villalta_Fig3a'!B6</f>
        <v>2.4936386768447802E-3</v>
      </c>
      <c r="X189" s="1" t="s">
        <v>237</v>
      </c>
      <c r="Y189" s="3"/>
      <c r="AA189">
        <v>6.6</v>
      </c>
      <c r="AB189">
        <f>'[20]Martinez-Villalta_eatl_2002_Fig'!B6</f>
        <v>34.75</v>
      </c>
      <c r="AD189" t="s">
        <v>223</v>
      </c>
    </row>
    <row r="190" spans="1:30" x14ac:dyDescent="0.35">
      <c r="A190" t="s">
        <v>147</v>
      </c>
      <c r="B190" t="s">
        <v>153</v>
      </c>
      <c r="C190" t="s">
        <v>161</v>
      </c>
      <c r="D190" t="s">
        <v>164</v>
      </c>
      <c r="E190" t="s">
        <v>19</v>
      </c>
      <c r="F190" s="4" t="s">
        <v>75</v>
      </c>
      <c r="G190" t="s">
        <v>74</v>
      </c>
      <c r="H190" t="s">
        <v>74</v>
      </c>
      <c r="I190" t="s">
        <v>74</v>
      </c>
      <c r="K190" t="s">
        <v>406</v>
      </c>
      <c r="L190" t="s">
        <v>406</v>
      </c>
      <c r="M190" t="s">
        <v>406</v>
      </c>
      <c r="R190" t="s">
        <v>279</v>
      </c>
      <c r="S190" t="s">
        <v>167</v>
      </c>
      <c r="T190" t="s">
        <v>258</v>
      </c>
      <c r="U190" t="s">
        <v>281</v>
      </c>
      <c r="W190" s="1">
        <f>'[19]Martinez-Villalta_Fig3a'!B7</f>
        <v>1.5776081424936301E-3</v>
      </c>
      <c r="X190" s="1" t="s">
        <v>237</v>
      </c>
      <c r="Y190" s="3"/>
      <c r="AA190">
        <v>6.6</v>
      </c>
      <c r="AB190">
        <f>'[20]Martinez-Villalta_eatl_2002_Fig'!B7</f>
        <v>42.5</v>
      </c>
      <c r="AD190" t="s">
        <v>223</v>
      </c>
    </row>
    <row r="191" spans="1:30" x14ac:dyDescent="0.35">
      <c r="A191" t="s">
        <v>147</v>
      </c>
      <c r="B191" t="s">
        <v>154</v>
      </c>
      <c r="C191" t="s">
        <v>25</v>
      </c>
      <c r="D191" t="s">
        <v>24</v>
      </c>
      <c r="E191" t="s">
        <v>19</v>
      </c>
      <c r="F191" t="s">
        <v>20</v>
      </c>
      <c r="G191" t="s">
        <v>360</v>
      </c>
      <c r="H191" t="s">
        <v>402</v>
      </c>
      <c r="I191" t="s">
        <v>376</v>
      </c>
      <c r="K191" t="s">
        <v>406</v>
      </c>
      <c r="L191" t="s">
        <v>406</v>
      </c>
      <c r="M191" t="s">
        <v>406</v>
      </c>
      <c r="R191" t="s">
        <v>279</v>
      </c>
      <c r="S191" t="s">
        <v>167</v>
      </c>
      <c r="T191" t="s">
        <v>258</v>
      </c>
      <c r="U191" t="s">
        <v>281</v>
      </c>
      <c r="W191" s="1">
        <f>'[19]Martinez-Villalta_Fig3a'!B8</f>
        <v>1.2468193384223901E-3</v>
      </c>
      <c r="X191" s="1" t="s">
        <v>237</v>
      </c>
      <c r="Y191" s="3"/>
      <c r="AA191">
        <v>6.6</v>
      </c>
      <c r="AB191">
        <f>'[20]Martinez-Villalta_eatl_2002_Fig'!B8</f>
        <v>41.75</v>
      </c>
      <c r="AD191" t="s">
        <v>223</v>
      </c>
    </row>
    <row r="192" spans="1:30" x14ac:dyDescent="0.35">
      <c r="A192" t="s">
        <v>147</v>
      </c>
      <c r="B192" t="s">
        <v>155</v>
      </c>
      <c r="C192" t="s">
        <v>162</v>
      </c>
      <c r="D192" t="s">
        <v>165</v>
      </c>
      <c r="E192" t="s">
        <v>19</v>
      </c>
      <c r="F192" t="s">
        <v>20</v>
      </c>
      <c r="G192" t="s">
        <v>360</v>
      </c>
      <c r="H192" t="s">
        <v>402</v>
      </c>
      <c r="I192" t="s">
        <v>376</v>
      </c>
      <c r="K192" t="s">
        <v>406</v>
      </c>
      <c r="L192" t="s">
        <v>406</v>
      </c>
      <c r="M192" t="s">
        <v>406</v>
      </c>
      <c r="R192" t="s">
        <v>279</v>
      </c>
      <c r="S192" t="s">
        <v>167</v>
      </c>
      <c r="T192" t="s">
        <v>258</v>
      </c>
      <c r="U192" t="s">
        <v>281</v>
      </c>
      <c r="W192" s="1">
        <f>'[19]Martinez-Villalta_Fig3a'!B9</f>
        <v>5.7888040712468104E-3</v>
      </c>
      <c r="X192" s="1" t="s">
        <v>237</v>
      </c>
      <c r="Y192" s="3"/>
      <c r="AA192">
        <v>6.6</v>
      </c>
      <c r="AB192">
        <f>'[20]Martinez-Villalta_eatl_2002_Fig'!B9</f>
        <v>48.124999999999901</v>
      </c>
      <c r="AD192" t="s">
        <v>223</v>
      </c>
    </row>
    <row r="193" spans="1:30" x14ac:dyDescent="0.35">
      <c r="A193" t="s">
        <v>147</v>
      </c>
      <c r="B193" t="s">
        <v>156</v>
      </c>
      <c r="C193" t="s">
        <v>27</v>
      </c>
      <c r="D193" t="s">
        <v>18</v>
      </c>
      <c r="E193" t="s">
        <v>19</v>
      </c>
      <c r="F193" t="s">
        <v>123</v>
      </c>
      <c r="G193" t="s">
        <v>361</v>
      </c>
      <c r="H193" t="s">
        <v>402</v>
      </c>
      <c r="I193" t="s">
        <v>376</v>
      </c>
      <c r="K193" t="s">
        <v>406</v>
      </c>
      <c r="L193" t="s">
        <v>406</v>
      </c>
      <c r="M193" t="s">
        <v>406</v>
      </c>
      <c r="R193" t="s">
        <v>279</v>
      </c>
      <c r="S193" t="s">
        <v>167</v>
      </c>
      <c r="T193" t="s">
        <v>258</v>
      </c>
      <c r="U193" t="s">
        <v>281</v>
      </c>
      <c r="W193" s="1">
        <f>'[19]Martinez-Villalta_Fig3a'!B10</f>
        <v>6.0178117048346001E-3</v>
      </c>
      <c r="X193" s="1" t="s">
        <v>237</v>
      </c>
      <c r="Y193" s="3"/>
      <c r="AA193">
        <v>6.6</v>
      </c>
      <c r="AB193">
        <f>'[20]Martinez-Villalta_eatl_2002_Fig'!B10</f>
        <v>73.749999999999901</v>
      </c>
      <c r="AD193" t="s">
        <v>223</v>
      </c>
    </row>
    <row r="194" spans="1:30" x14ac:dyDescent="0.35">
      <c r="A194" t="s">
        <v>175</v>
      </c>
      <c r="B194" t="s">
        <v>176</v>
      </c>
      <c r="C194" t="s">
        <v>177</v>
      </c>
      <c r="D194" t="s">
        <v>178</v>
      </c>
      <c r="E194" t="s">
        <v>133</v>
      </c>
      <c r="F194" t="s">
        <v>134</v>
      </c>
      <c r="G194" t="s">
        <v>134</v>
      </c>
      <c r="H194" t="s">
        <v>134</v>
      </c>
      <c r="I194" t="s">
        <v>134</v>
      </c>
      <c r="J194">
        <f>30+45</f>
        <v>75</v>
      </c>
      <c r="K194" t="s">
        <v>13</v>
      </c>
      <c r="L194" t="s">
        <v>7</v>
      </c>
      <c r="M194" t="s">
        <v>7</v>
      </c>
      <c r="R194" t="s">
        <v>279</v>
      </c>
      <c r="S194" t="s">
        <v>128</v>
      </c>
      <c r="T194" t="s">
        <v>214</v>
      </c>
      <c r="U194" t="s">
        <v>281</v>
      </c>
      <c r="V194" s="1">
        <f>[21]Martre_etal_2001_Fig4!C2</f>
        <v>3.7218045112781899E-11</v>
      </c>
      <c r="W194" s="1"/>
      <c r="X194" s="1" t="s">
        <v>242</v>
      </c>
      <c r="Y194" s="3"/>
      <c r="AA194">
        <v>1.8</v>
      </c>
      <c r="AD194" t="s">
        <v>247</v>
      </c>
    </row>
    <row r="195" spans="1:30" x14ac:dyDescent="0.35">
      <c r="A195" t="s">
        <v>175</v>
      </c>
      <c r="B195" t="s">
        <v>176</v>
      </c>
      <c r="C195" t="s">
        <v>177</v>
      </c>
      <c r="D195" t="s">
        <v>178</v>
      </c>
      <c r="E195" t="s">
        <v>133</v>
      </c>
      <c r="F195" t="s">
        <v>134</v>
      </c>
      <c r="G195" t="s">
        <v>134</v>
      </c>
      <c r="H195" t="s">
        <v>134</v>
      </c>
      <c r="I195" t="s">
        <v>134</v>
      </c>
      <c r="J195">
        <f t="shared" ref="J195:J197" si="14">30+45</f>
        <v>75</v>
      </c>
      <c r="K195" t="s">
        <v>13</v>
      </c>
      <c r="L195" t="s">
        <v>7</v>
      </c>
      <c r="M195" t="s">
        <v>7</v>
      </c>
      <c r="R195" t="s">
        <v>279</v>
      </c>
      <c r="S195" t="s">
        <v>128</v>
      </c>
      <c r="T195" t="s">
        <v>215</v>
      </c>
      <c r="U195" t="s">
        <v>281</v>
      </c>
      <c r="V195" s="1">
        <f>[21]Martre_etal_2001_Fig4!C3</f>
        <v>3.8721804511278098E-11</v>
      </c>
      <c r="W195" s="1"/>
      <c r="X195" s="1" t="s">
        <v>242</v>
      </c>
      <c r="Y195" s="3"/>
      <c r="AA195">
        <v>1.71</v>
      </c>
      <c r="AD195" t="s">
        <v>247</v>
      </c>
    </row>
    <row r="196" spans="1:30" x14ac:dyDescent="0.35">
      <c r="A196" t="s">
        <v>175</v>
      </c>
      <c r="B196" t="s">
        <v>176</v>
      </c>
      <c r="C196" t="s">
        <v>177</v>
      </c>
      <c r="D196" t="s">
        <v>178</v>
      </c>
      <c r="E196" t="s">
        <v>133</v>
      </c>
      <c r="F196" t="s">
        <v>134</v>
      </c>
      <c r="G196" t="s">
        <v>134</v>
      </c>
      <c r="H196" t="s">
        <v>134</v>
      </c>
      <c r="I196" t="s">
        <v>134</v>
      </c>
      <c r="J196">
        <f t="shared" si="14"/>
        <v>75</v>
      </c>
      <c r="K196" t="s">
        <v>13</v>
      </c>
      <c r="L196" t="s">
        <v>13</v>
      </c>
      <c r="M196" t="s">
        <v>399</v>
      </c>
      <c r="R196" t="s">
        <v>279</v>
      </c>
      <c r="S196" t="s">
        <v>128</v>
      </c>
      <c r="T196" t="s">
        <v>214</v>
      </c>
      <c r="U196" t="s">
        <v>281</v>
      </c>
      <c r="V196" s="1">
        <f>[21]Martre_etal_2001_Fig4!C4</f>
        <v>4.1353383458646594E-12</v>
      </c>
      <c r="W196" s="1"/>
      <c r="X196" s="1" t="s">
        <v>242</v>
      </c>
      <c r="Y196" s="3"/>
      <c r="AA196">
        <v>1.66</v>
      </c>
      <c r="AD196" t="s">
        <v>247</v>
      </c>
    </row>
    <row r="197" spans="1:30" x14ac:dyDescent="0.35">
      <c r="A197" t="s">
        <v>175</v>
      </c>
      <c r="B197" t="s">
        <v>176</v>
      </c>
      <c r="C197" t="s">
        <v>177</v>
      </c>
      <c r="D197" t="s">
        <v>178</v>
      </c>
      <c r="E197" t="s">
        <v>133</v>
      </c>
      <c r="F197" t="s">
        <v>134</v>
      </c>
      <c r="G197" t="s">
        <v>134</v>
      </c>
      <c r="H197" t="s">
        <v>134</v>
      </c>
      <c r="I197" t="s">
        <v>134</v>
      </c>
      <c r="J197">
        <f t="shared" si="14"/>
        <v>75</v>
      </c>
      <c r="K197" t="s">
        <v>13</v>
      </c>
      <c r="L197" t="s">
        <v>13</v>
      </c>
      <c r="M197" t="s">
        <v>399</v>
      </c>
      <c r="R197" t="s">
        <v>279</v>
      </c>
      <c r="S197" t="s">
        <v>128</v>
      </c>
      <c r="T197" t="s">
        <v>215</v>
      </c>
      <c r="U197" t="s">
        <v>281</v>
      </c>
      <c r="V197" s="1">
        <f>[21]Martre_etal_2001_Fig4!C5</f>
        <v>2.8822055137844596E-12</v>
      </c>
      <c r="W197" s="1"/>
      <c r="X197" s="1" t="s">
        <v>242</v>
      </c>
      <c r="Y197" s="3"/>
      <c r="AA197">
        <v>1.36</v>
      </c>
      <c r="AD197" t="s">
        <v>247</v>
      </c>
    </row>
    <row r="198" spans="1:30" x14ac:dyDescent="0.35">
      <c r="A198" t="s">
        <v>170</v>
      </c>
      <c r="B198" t="s">
        <v>168</v>
      </c>
      <c r="C198" t="s">
        <v>174</v>
      </c>
      <c r="D198" t="s">
        <v>173</v>
      </c>
      <c r="E198" t="s">
        <v>19</v>
      </c>
      <c r="F198" t="s">
        <v>363</v>
      </c>
      <c r="G198" t="s">
        <v>363</v>
      </c>
      <c r="H198" t="s">
        <v>408</v>
      </c>
      <c r="I198" t="s">
        <v>411</v>
      </c>
      <c r="J198">
        <v>90</v>
      </c>
      <c r="K198" t="s">
        <v>390</v>
      </c>
      <c r="L198" t="s">
        <v>171</v>
      </c>
      <c r="M198" t="s">
        <v>398</v>
      </c>
      <c r="R198" t="s">
        <v>279</v>
      </c>
      <c r="S198" t="s">
        <v>169</v>
      </c>
      <c r="T198" t="s">
        <v>258</v>
      </c>
      <c r="U198" t="s">
        <v>281</v>
      </c>
      <c r="W198" s="1">
        <f>0.00000000019*10000/60/0.3</f>
        <v>1.0555555555555555E-7</v>
      </c>
      <c r="X198" s="1" t="s">
        <v>234</v>
      </c>
      <c r="Y198">
        <v>150</v>
      </c>
      <c r="AD198" t="s">
        <v>249</v>
      </c>
    </row>
    <row r="199" spans="1:30" x14ac:dyDescent="0.35">
      <c r="A199" t="s">
        <v>170</v>
      </c>
      <c r="B199" t="s">
        <v>168</v>
      </c>
      <c r="C199" t="s">
        <v>174</v>
      </c>
      <c r="D199" t="s">
        <v>173</v>
      </c>
      <c r="E199" t="s">
        <v>19</v>
      </c>
      <c r="F199" t="s">
        <v>363</v>
      </c>
      <c r="G199" t="s">
        <v>363</v>
      </c>
      <c r="H199" t="s">
        <v>408</v>
      </c>
      <c r="I199" t="s">
        <v>411</v>
      </c>
      <c r="J199">
        <v>90</v>
      </c>
      <c r="K199" t="s">
        <v>390</v>
      </c>
      <c r="L199" t="s">
        <v>172</v>
      </c>
      <c r="M199" t="s">
        <v>398</v>
      </c>
      <c r="R199" t="s">
        <v>279</v>
      </c>
      <c r="S199" t="s">
        <v>169</v>
      </c>
      <c r="T199" t="s">
        <v>258</v>
      </c>
      <c r="U199" t="s">
        <v>281</v>
      </c>
      <c r="W199" s="1">
        <f>0.00000000019*10000/60/0.3</f>
        <v>1.0555555555555555E-7</v>
      </c>
      <c r="X199" s="1" t="s">
        <v>234</v>
      </c>
      <c r="Y199">
        <v>150</v>
      </c>
      <c r="AD199" t="s">
        <v>249</v>
      </c>
    </row>
    <row r="200" spans="1:30" x14ac:dyDescent="0.35">
      <c r="A200" t="s">
        <v>380</v>
      </c>
      <c r="B200" t="s">
        <v>264</v>
      </c>
      <c r="C200" t="s">
        <v>89</v>
      </c>
      <c r="D200" t="s">
        <v>22</v>
      </c>
      <c r="E200" t="s">
        <v>19</v>
      </c>
      <c r="F200" t="s">
        <v>23</v>
      </c>
      <c r="G200" t="s">
        <v>365</v>
      </c>
      <c r="H200" t="s">
        <v>403</v>
      </c>
      <c r="I200" t="s">
        <v>376</v>
      </c>
      <c r="K200" t="s">
        <v>265</v>
      </c>
      <c r="L200" t="s">
        <v>7</v>
      </c>
      <c r="M200" t="s">
        <v>7</v>
      </c>
      <c r="R200" t="s">
        <v>279</v>
      </c>
      <c r="S200" t="s">
        <v>268</v>
      </c>
      <c r="T200" t="s">
        <v>258</v>
      </c>
      <c r="U200" t="s">
        <v>281</v>
      </c>
      <c r="W200" s="1">
        <v>7.3200000000000001E-3</v>
      </c>
      <c r="X200" s="1" t="s">
        <v>234</v>
      </c>
      <c r="AD200" t="s">
        <v>223</v>
      </c>
    </row>
    <row r="201" spans="1:30" x14ac:dyDescent="0.35">
      <c r="A201" t="s">
        <v>380</v>
      </c>
      <c r="B201" t="s">
        <v>264</v>
      </c>
      <c r="C201" t="s">
        <v>89</v>
      </c>
      <c r="D201" t="s">
        <v>22</v>
      </c>
      <c r="E201" t="s">
        <v>19</v>
      </c>
      <c r="F201" t="s">
        <v>23</v>
      </c>
      <c r="G201" t="s">
        <v>365</v>
      </c>
      <c r="H201" t="s">
        <v>403</v>
      </c>
      <c r="I201" t="s">
        <v>376</v>
      </c>
      <c r="K201" t="s">
        <v>265</v>
      </c>
      <c r="L201" t="s">
        <v>266</v>
      </c>
      <c r="M201" t="s">
        <v>399</v>
      </c>
      <c r="R201" t="s">
        <v>279</v>
      </c>
      <c r="S201" t="s">
        <v>268</v>
      </c>
      <c r="T201" t="s">
        <v>258</v>
      </c>
      <c r="U201" t="s">
        <v>281</v>
      </c>
      <c r="W201" s="1">
        <v>3.4000000000000002E-4</v>
      </c>
      <c r="X201" s="1" t="s">
        <v>234</v>
      </c>
      <c r="AD201" t="s">
        <v>223</v>
      </c>
    </row>
    <row r="202" spans="1:30" x14ac:dyDescent="0.35">
      <c r="A202" t="s">
        <v>380</v>
      </c>
      <c r="B202" t="s">
        <v>264</v>
      </c>
      <c r="C202" t="s">
        <v>89</v>
      </c>
      <c r="D202" t="s">
        <v>22</v>
      </c>
      <c r="E202" t="s">
        <v>19</v>
      </c>
      <c r="F202" t="s">
        <v>23</v>
      </c>
      <c r="G202" t="s">
        <v>365</v>
      </c>
      <c r="H202" t="s">
        <v>403</v>
      </c>
      <c r="I202" t="s">
        <v>376</v>
      </c>
      <c r="K202" t="s">
        <v>265</v>
      </c>
      <c r="L202" t="s">
        <v>267</v>
      </c>
      <c r="M202" t="s">
        <v>399</v>
      </c>
      <c r="R202" t="s">
        <v>279</v>
      </c>
      <c r="S202" t="s">
        <v>268</v>
      </c>
      <c r="T202" t="s">
        <v>258</v>
      </c>
      <c r="U202" t="s">
        <v>281</v>
      </c>
      <c r="W202" s="1">
        <v>1.9000000000000001E-4</v>
      </c>
      <c r="X202" s="1" t="s">
        <v>234</v>
      </c>
      <c r="AD202" t="s">
        <v>223</v>
      </c>
    </row>
    <row r="203" spans="1:30" x14ac:dyDescent="0.35">
      <c r="A203" t="s">
        <v>185</v>
      </c>
      <c r="B203" t="s">
        <v>183</v>
      </c>
      <c r="C203" t="s">
        <v>177</v>
      </c>
      <c r="D203" t="s">
        <v>178</v>
      </c>
      <c r="E203" t="s">
        <v>133</v>
      </c>
      <c r="F203" t="s">
        <v>134</v>
      </c>
      <c r="G203" t="s">
        <v>134</v>
      </c>
      <c r="H203" t="s">
        <v>134</v>
      </c>
      <c r="I203" t="s">
        <v>134</v>
      </c>
      <c r="J203">
        <v>40</v>
      </c>
      <c r="K203" t="s">
        <v>13</v>
      </c>
      <c r="L203" t="s">
        <v>7</v>
      </c>
      <c r="M203" t="s">
        <v>7</v>
      </c>
      <c r="R203" t="s">
        <v>279</v>
      </c>
      <c r="S203" t="s">
        <v>184</v>
      </c>
      <c r="T203" t="s">
        <v>215</v>
      </c>
      <c r="U203" t="s">
        <v>281</v>
      </c>
      <c r="V203" s="1">
        <f>'[22]North&amp;Nobel_1996_Fig2b'!B2</f>
        <v>1.61951219512195E-11</v>
      </c>
      <c r="W203" s="1">
        <f>+V203/Y203*1000000</f>
        <v>2.2911410777890173E-6</v>
      </c>
      <c r="X203" s="1" t="s">
        <v>234</v>
      </c>
      <c r="Y203" s="3">
        <f>+(AA203/2)^2*PI()</f>
        <v>7.0685834705770345</v>
      </c>
      <c r="AA203">
        <v>3</v>
      </c>
      <c r="AD203" t="s">
        <v>223</v>
      </c>
    </row>
    <row r="204" spans="1:30" x14ac:dyDescent="0.35">
      <c r="A204" t="s">
        <v>185</v>
      </c>
      <c r="B204" t="s">
        <v>183</v>
      </c>
      <c r="C204" t="s">
        <v>177</v>
      </c>
      <c r="D204" t="s">
        <v>178</v>
      </c>
      <c r="E204" t="s">
        <v>133</v>
      </c>
      <c r="F204" t="s">
        <v>134</v>
      </c>
      <c r="G204" t="s">
        <v>134</v>
      </c>
      <c r="H204" t="s">
        <v>134</v>
      </c>
      <c r="I204" t="s">
        <v>134</v>
      </c>
      <c r="J204">
        <v>40</v>
      </c>
      <c r="K204" t="s">
        <v>13</v>
      </c>
      <c r="L204" t="s">
        <v>13</v>
      </c>
      <c r="M204" t="s">
        <v>399</v>
      </c>
      <c r="R204" t="s">
        <v>279</v>
      </c>
      <c r="S204" t="s">
        <v>184</v>
      </c>
      <c r="T204" t="s">
        <v>215</v>
      </c>
      <c r="U204" t="s">
        <v>281</v>
      </c>
      <c r="V204" s="1">
        <f>'[22]North&amp;Nobel_1996_Fig2b'!B3</f>
        <v>1.2195121951219501E-11</v>
      </c>
      <c r="W204" s="1">
        <f>+V204/Y204*1000000</f>
        <v>1.7252568356845007E-6</v>
      </c>
      <c r="X204" s="1" t="s">
        <v>234</v>
      </c>
      <c r="Y204" s="3">
        <f t="shared" ref="Y204:Y205" si="15">+(AA204/2)^2*PI()</f>
        <v>7.0685834705770345</v>
      </c>
      <c r="AA204">
        <v>3</v>
      </c>
      <c r="AD204" t="s">
        <v>223</v>
      </c>
    </row>
    <row r="205" spans="1:30" x14ac:dyDescent="0.35">
      <c r="A205" t="s">
        <v>185</v>
      </c>
      <c r="B205" t="s">
        <v>183</v>
      </c>
      <c r="C205" t="s">
        <v>177</v>
      </c>
      <c r="D205" t="s">
        <v>178</v>
      </c>
      <c r="E205" t="s">
        <v>133</v>
      </c>
      <c r="F205" t="s">
        <v>134</v>
      </c>
      <c r="G205" t="s">
        <v>134</v>
      </c>
      <c r="H205" t="s">
        <v>134</v>
      </c>
      <c r="I205" t="s">
        <v>134</v>
      </c>
      <c r="J205">
        <v>40</v>
      </c>
      <c r="K205" t="s">
        <v>13</v>
      </c>
      <c r="L205" t="s">
        <v>7</v>
      </c>
      <c r="M205" t="s">
        <v>7</v>
      </c>
      <c r="R205" t="s">
        <v>279</v>
      </c>
      <c r="S205" t="s">
        <v>184</v>
      </c>
      <c r="T205" t="s">
        <v>214</v>
      </c>
      <c r="U205" t="s">
        <v>281</v>
      </c>
      <c r="V205" s="1">
        <f>'[22]North&amp;Nobel_1996_Fig2b'!B5</f>
        <v>4.0975609756097501E-11</v>
      </c>
      <c r="W205" s="1">
        <f>+V205/Y205*1000000</f>
        <v>5.7968629678999195E-6</v>
      </c>
      <c r="X205" s="1" t="s">
        <v>234</v>
      </c>
      <c r="Y205" s="3">
        <f t="shared" si="15"/>
        <v>7.0685834705770345</v>
      </c>
      <c r="AA205">
        <v>3</v>
      </c>
      <c r="AD205" t="s">
        <v>223</v>
      </c>
    </row>
    <row r="206" spans="1:30" x14ac:dyDescent="0.35">
      <c r="A206" t="s">
        <v>185</v>
      </c>
      <c r="B206" t="s">
        <v>183</v>
      </c>
      <c r="C206" t="s">
        <v>177</v>
      </c>
      <c r="D206" t="s">
        <v>178</v>
      </c>
      <c r="E206" t="s">
        <v>133</v>
      </c>
      <c r="F206" t="s">
        <v>134</v>
      </c>
      <c r="G206" t="s">
        <v>134</v>
      </c>
      <c r="H206" t="s">
        <v>134</v>
      </c>
      <c r="I206" t="s">
        <v>134</v>
      </c>
      <c r="J206">
        <v>40</v>
      </c>
      <c r="K206" t="s">
        <v>13</v>
      </c>
      <c r="L206" t="s">
        <v>13</v>
      </c>
      <c r="M206" t="s">
        <v>399</v>
      </c>
      <c r="R206" t="s">
        <v>279</v>
      </c>
      <c r="S206" t="s">
        <v>184</v>
      </c>
      <c r="T206" t="s">
        <v>214</v>
      </c>
      <c r="U206" t="s">
        <v>281</v>
      </c>
      <c r="V206" s="1">
        <f>'[22]North&amp;Nobel_1996_Fig2b'!B6</f>
        <v>1.6390243902439E-11</v>
      </c>
      <c r="W206" s="1">
        <f>+V206/Y206*1000000</f>
        <v>2.3187451871599677E-6</v>
      </c>
      <c r="X206" s="1" t="s">
        <v>234</v>
      </c>
      <c r="Y206" s="3">
        <f t="shared" ref="Y206" si="16">+(AA206/2)^2*PI()</f>
        <v>7.0685834705770345</v>
      </c>
      <c r="AA206">
        <v>3</v>
      </c>
      <c r="AD206" t="s">
        <v>223</v>
      </c>
    </row>
    <row r="207" spans="1:30" x14ac:dyDescent="0.35">
      <c r="A207" t="s">
        <v>282</v>
      </c>
      <c r="B207" t="s">
        <v>283</v>
      </c>
      <c r="C207" t="s">
        <v>25</v>
      </c>
      <c r="D207" t="s">
        <v>24</v>
      </c>
      <c r="E207" t="s">
        <v>19</v>
      </c>
      <c r="F207" t="s">
        <v>20</v>
      </c>
      <c r="G207" t="s">
        <v>360</v>
      </c>
      <c r="H207" t="s">
        <v>402</v>
      </c>
      <c r="I207" t="s">
        <v>376</v>
      </c>
      <c r="K207" t="s">
        <v>406</v>
      </c>
      <c r="L207" t="s">
        <v>406</v>
      </c>
      <c r="M207" t="s">
        <v>406</v>
      </c>
      <c r="R207" t="s">
        <v>279</v>
      </c>
      <c r="S207" t="s">
        <v>268</v>
      </c>
      <c r="T207" t="s">
        <v>258</v>
      </c>
      <c r="U207" t="s">
        <v>281</v>
      </c>
      <c r="W207" s="1">
        <f>[12]XFT_full_database!$J455*0.001</f>
        <v>1.09E-2</v>
      </c>
      <c r="X207" s="1" t="s">
        <v>237</v>
      </c>
      <c r="Y207" s="3"/>
      <c r="AD207" t="s">
        <v>223</v>
      </c>
    </row>
    <row r="208" spans="1:30" x14ac:dyDescent="0.35">
      <c r="A208" t="s">
        <v>282</v>
      </c>
      <c r="B208" t="s">
        <v>283</v>
      </c>
      <c r="C208" t="s">
        <v>25</v>
      </c>
      <c r="D208" t="s">
        <v>24</v>
      </c>
      <c r="E208" t="s">
        <v>19</v>
      </c>
      <c r="F208" t="s">
        <v>20</v>
      </c>
      <c r="G208" t="s">
        <v>360</v>
      </c>
      <c r="H208" t="s">
        <v>402</v>
      </c>
      <c r="I208" t="s">
        <v>376</v>
      </c>
      <c r="K208" t="s">
        <v>406</v>
      </c>
      <c r="L208" t="s">
        <v>406</v>
      </c>
      <c r="M208" t="s">
        <v>406</v>
      </c>
      <c r="R208" t="s">
        <v>279</v>
      </c>
      <c r="S208" t="s">
        <v>268</v>
      </c>
      <c r="T208" t="s">
        <v>258</v>
      </c>
      <c r="U208" t="s">
        <v>281</v>
      </c>
      <c r="W208" s="1">
        <f>[12]XFT_full_database!$J456*0.001</f>
        <v>1.2E-2</v>
      </c>
      <c r="X208" s="1" t="s">
        <v>237</v>
      </c>
      <c r="Y208" s="3"/>
      <c r="AD208" t="s">
        <v>223</v>
      </c>
    </row>
    <row r="209" spans="1:30" x14ac:dyDescent="0.35">
      <c r="A209" t="s">
        <v>179</v>
      </c>
      <c r="B209" t="s">
        <v>180</v>
      </c>
      <c r="C209" t="s">
        <v>187</v>
      </c>
      <c r="D209" t="s">
        <v>186</v>
      </c>
      <c r="E209" t="s">
        <v>19</v>
      </c>
      <c r="F209" t="s">
        <v>123</v>
      </c>
      <c r="G209" t="s">
        <v>361</v>
      </c>
      <c r="H209" t="s">
        <v>402</v>
      </c>
      <c r="I209" t="s">
        <v>376</v>
      </c>
      <c r="J209">
        <f>3*365</f>
        <v>1095</v>
      </c>
      <c r="K209" t="s">
        <v>406</v>
      </c>
      <c r="L209" t="s">
        <v>406</v>
      </c>
      <c r="M209" t="s">
        <v>406</v>
      </c>
      <c r="R209" t="s">
        <v>278</v>
      </c>
      <c r="S209" t="s">
        <v>220</v>
      </c>
      <c r="T209" t="s">
        <v>258</v>
      </c>
      <c r="U209" t="s">
        <v>281</v>
      </c>
      <c r="W209" s="1">
        <f>[23]Sheet1!E4</f>
        <v>1.4E-2</v>
      </c>
      <c r="X209" s="1" t="s">
        <v>242</v>
      </c>
      <c r="AD209" t="s">
        <v>223</v>
      </c>
    </row>
    <row r="210" spans="1:30" x14ac:dyDescent="0.35">
      <c r="A210" t="s">
        <v>179</v>
      </c>
      <c r="B210" t="s">
        <v>180</v>
      </c>
      <c r="C210" t="s">
        <v>187</v>
      </c>
      <c r="D210" t="s">
        <v>186</v>
      </c>
      <c r="E210" t="s">
        <v>19</v>
      </c>
      <c r="F210" t="s">
        <v>123</v>
      </c>
      <c r="G210" t="s">
        <v>361</v>
      </c>
      <c r="H210" t="s">
        <v>402</v>
      </c>
      <c r="I210" t="s">
        <v>376</v>
      </c>
      <c r="J210">
        <f>3*365</f>
        <v>1095</v>
      </c>
      <c r="K210" t="s">
        <v>406</v>
      </c>
      <c r="L210" t="s">
        <v>406</v>
      </c>
      <c r="M210" t="s">
        <v>406</v>
      </c>
      <c r="R210" t="s">
        <v>279</v>
      </c>
      <c r="S210" t="s">
        <v>220</v>
      </c>
      <c r="T210" t="s">
        <v>258</v>
      </c>
      <c r="U210" t="s">
        <v>281</v>
      </c>
      <c r="W210" s="1">
        <f>[23]Sheet1!E5</f>
        <v>2.0200000000000003E-2</v>
      </c>
      <c r="X210" s="1" t="s">
        <v>242</v>
      </c>
      <c r="AD210" t="s">
        <v>223</v>
      </c>
    </row>
    <row r="211" spans="1:30" x14ac:dyDescent="0.35">
      <c r="A211" t="s">
        <v>179</v>
      </c>
      <c r="B211" t="s">
        <v>180</v>
      </c>
      <c r="C211" t="s">
        <v>187</v>
      </c>
      <c r="D211" t="s">
        <v>186</v>
      </c>
      <c r="E211" t="s">
        <v>19</v>
      </c>
      <c r="F211" t="s">
        <v>123</v>
      </c>
      <c r="G211" t="s">
        <v>361</v>
      </c>
      <c r="H211" t="s">
        <v>402</v>
      </c>
      <c r="I211" t="s">
        <v>376</v>
      </c>
      <c r="J211">
        <f t="shared" ref="J211" si="17">3*365</f>
        <v>1095</v>
      </c>
      <c r="K211" t="s">
        <v>406</v>
      </c>
      <c r="L211" t="s">
        <v>406</v>
      </c>
      <c r="M211" t="s">
        <v>406</v>
      </c>
      <c r="R211" t="s">
        <v>280</v>
      </c>
      <c r="S211" t="s">
        <v>220</v>
      </c>
      <c r="T211" t="s">
        <v>258</v>
      </c>
      <c r="U211" t="s">
        <v>281</v>
      </c>
      <c r="W211" s="1">
        <f>[23]Sheet1!E6</f>
        <v>2.6000000000000002E-2</v>
      </c>
      <c r="X211" s="1" t="s">
        <v>242</v>
      </c>
      <c r="AD211" t="s">
        <v>223</v>
      </c>
    </row>
    <row r="212" spans="1:30" x14ac:dyDescent="0.35">
      <c r="A212" t="s">
        <v>179</v>
      </c>
      <c r="B212" t="s">
        <v>181</v>
      </c>
      <c r="C212" t="s">
        <v>188</v>
      </c>
      <c r="D212" t="s">
        <v>186</v>
      </c>
      <c r="E212" t="s">
        <v>19</v>
      </c>
      <c r="F212" s="4" t="s">
        <v>75</v>
      </c>
      <c r="G212" t="s">
        <v>74</v>
      </c>
      <c r="H212" t="s">
        <v>74</v>
      </c>
      <c r="I212" t="s">
        <v>74</v>
      </c>
      <c r="J212">
        <f>+AVERAGE(6,7)*365</f>
        <v>2372.5</v>
      </c>
      <c r="K212" t="s">
        <v>406</v>
      </c>
      <c r="L212" t="s">
        <v>406</v>
      </c>
      <c r="M212" t="s">
        <v>406</v>
      </c>
      <c r="R212" t="s">
        <v>278</v>
      </c>
      <c r="S212" t="s">
        <v>220</v>
      </c>
      <c r="T212" t="s">
        <v>258</v>
      </c>
      <c r="U212" t="s">
        <v>281</v>
      </c>
      <c r="W212" s="1">
        <v>0.02</v>
      </c>
      <c r="X212" s="1" t="s">
        <v>242</v>
      </c>
      <c r="AD212" t="s">
        <v>223</v>
      </c>
    </row>
    <row r="213" spans="1:30" x14ac:dyDescent="0.35">
      <c r="A213" t="s">
        <v>179</v>
      </c>
      <c r="B213" t="s">
        <v>181</v>
      </c>
      <c r="C213" t="s">
        <v>188</v>
      </c>
      <c r="D213" t="s">
        <v>186</v>
      </c>
      <c r="E213" t="s">
        <v>19</v>
      </c>
      <c r="F213" s="4" t="s">
        <v>75</v>
      </c>
      <c r="G213" t="s">
        <v>74</v>
      </c>
      <c r="H213" t="s">
        <v>74</v>
      </c>
      <c r="I213" t="s">
        <v>74</v>
      </c>
      <c r="J213">
        <f t="shared" ref="J213:J214" si="18">+AVERAGE(6,7)*365</f>
        <v>2372.5</v>
      </c>
      <c r="K213" t="s">
        <v>406</v>
      </c>
      <c r="L213" t="s">
        <v>406</v>
      </c>
      <c r="M213" t="s">
        <v>406</v>
      </c>
      <c r="R213" t="s">
        <v>279</v>
      </c>
      <c r="S213" t="s">
        <v>220</v>
      </c>
      <c r="T213" t="s">
        <v>258</v>
      </c>
      <c r="U213" t="s">
        <v>281</v>
      </c>
      <c r="W213" s="1">
        <f>+AVERAGE(W214,W212)</f>
        <v>0.03</v>
      </c>
      <c r="X213" s="1" t="s">
        <v>242</v>
      </c>
      <c r="AD213" t="s">
        <v>223</v>
      </c>
    </row>
    <row r="214" spans="1:30" x14ac:dyDescent="0.35">
      <c r="A214" t="s">
        <v>179</v>
      </c>
      <c r="B214" t="s">
        <v>181</v>
      </c>
      <c r="C214" t="s">
        <v>188</v>
      </c>
      <c r="D214" t="s">
        <v>186</v>
      </c>
      <c r="E214" t="s">
        <v>19</v>
      </c>
      <c r="F214" s="4" t="s">
        <v>75</v>
      </c>
      <c r="G214" t="s">
        <v>74</v>
      </c>
      <c r="H214" t="s">
        <v>74</v>
      </c>
      <c r="I214" t="s">
        <v>74</v>
      </c>
      <c r="J214">
        <f t="shared" si="18"/>
        <v>2372.5</v>
      </c>
      <c r="K214" t="s">
        <v>406</v>
      </c>
      <c r="L214" t="s">
        <v>406</v>
      </c>
      <c r="M214" t="s">
        <v>406</v>
      </c>
      <c r="R214" t="s">
        <v>280</v>
      </c>
      <c r="S214" t="s">
        <v>220</v>
      </c>
      <c r="T214" t="s">
        <v>258</v>
      </c>
      <c r="U214" t="s">
        <v>281</v>
      </c>
      <c r="W214" s="1">
        <v>0.04</v>
      </c>
      <c r="X214" s="1" t="s">
        <v>242</v>
      </c>
      <c r="AD214" t="s">
        <v>223</v>
      </c>
    </row>
    <row r="215" spans="1:30" x14ac:dyDescent="0.35">
      <c r="A215" t="s">
        <v>179</v>
      </c>
      <c r="B215" t="s">
        <v>182</v>
      </c>
      <c r="C215" t="s">
        <v>187</v>
      </c>
      <c r="D215" t="s">
        <v>186</v>
      </c>
      <c r="E215" t="s">
        <v>19</v>
      </c>
      <c r="F215" t="s">
        <v>123</v>
      </c>
      <c r="G215" t="s">
        <v>361</v>
      </c>
      <c r="H215" t="s">
        <v>402</v>
      </c>
      <c r="I215" t="s">
        <v>376</v>
      </c>
      <c r="J215">
        <f>+AVERAGE(10,15)*365</f>
        <v>4562.5</v>
      </c>
      <c r="K215" t="s">
        <v>406</v>
      </c>
      <c r="L215" t="s">
        <v>406</v>
      </c>
      <c r="M215" t="s">
        <v>406</v>
      </c>
      <c r="R215" t="s">
        <v>278</v>
      </c>
      <c r="S215" t="s">
        <v>220</v>
      </c>
      <c r="T215" t="s">
        <v>258</v>
      </c>
      <c r="U215" t="s">
        <v>281</v>
      </c>
      <c r="W215" s="1">
        <v>2E-3</v>
      </c>
      <c r="X215" s="1" t="s">
        <v>242</v>
      </c>
      <c r="AD215" t="s">
        <v>223</v>
      </c>
    </row>
    <row r="216" spans="1:30" x14ac:dyDescent="0.35">
      <c r="A216" t="s">
        <v>179</v>
      </c>
      <c r="B216" t="s">
        <v>182</v>
      </c>
      <c r="C216" t="s">
        <v>187</v>
      </c>
      <c r="D216" t="s">
        <v>186</v>
      </c>
      <c r="E216" t="s">
        <v>19</v>
      </c>
      <c r="F216" t="s">
        <v>123</v>
      </c>
      <c r="G216" t="s">
        <v>361</v>
      </c>
      <c r="H216" t="s">
        <v>402</v>
      </c>
      <c r="I216" t="s">
        <v>376</v>
      </c>
      <c r="J216">
        <f>+AVERAGE(10,15)*365</f>
        <v>4562.5</v>
      </c>
      <c r="K216" t="s">
        <v>406</v>
      </c>
      <c r="L216" t="s">
        <v>406</v>
      </c>
      <c r="M216" t="s">
        <v>406</v>
      </c>
      <c r="R216" t="s">
        <v>279</v>
      </c>
      <c r="S216" t="s">
        <v>220</v>
      </c>
      <c r="T216" t="s">
        <v>258</v>
      </c>
      <c r="U216" t="s">
        <v>281</v>
      </c>
      <c r="W216" s="1">
        <f>+AVERAGE(W217,W215)</f>
        <v>2.8500000000000001E-3</v>
      </c>
      <c r="X216" s="1" t="s">
        <v>242</v>
      </c>
      <c r="AD216" t="s">
        <v>223</v>
      </c>
    </row>
    <row r="217" spans="1:30" x14ac:dyDescent="0.35">
      <c r="A217" t="s">
        <v>179</v>
      </c>
      <c r="B217" t="s">
        <v>182</v>
      </c>
      <c r="C217" t="s">
        <v>187</v>
      </c>
      <c r="D217" t="s">
        <v>186</v>
      </c>
      <c r="E217" t="s">
        <v>19</v>
      </c>
      <c r="F217" t="s">
        <v>123</v>
      </c>
      <c r="G217" t="s">
        <v>361</v>
      </c>
      <c r="H217" t="s">
        <v>402</v>
      </c>
      <c r="I217" t="s">
        <v>376</v>
      </c>
      <c r="J217">
        <f>+AVERAGE(10,15)*365</f>
        <v>4562.5</v>
      </c>
      <c r="K217" t="s">
        <v>406</v>
      </c>
      <c r="L217" t="s">
        <v>406</v>
      </c>
      <c r="M217" t="s">
        <v>406</v>
      </c>
      <c r="R217" t="s">
        <v>280</v>
      </c>
      <c r="S217" t="s">
        <v>220</v>
      </c>
      <c r="T217" t="s">
        <v>258</v>
      </c>
      <c r="U217" t="s">
        <v>281</v>
      </c>
      <c r="W217" s="1">
        <v>3.7000000000000002E-3</v>
      </c>
      <c r="X217" s="1" t="s">
        <v>242</v>
      </c>
      <c r="AD217" t="s">
        <v>223</v>
      </c>
    </row>
    <row r="218" spans="1:30" x14ac:dyDescent="0.35">
      <c r="A218" t="s">
        <v>179</v>
      </c>
      <c r="B218" t="s">
        <v>180</v>
      </c>
      <c r="C218" t="s">
        <v>187</v>
      </c>
      <c r="D218" t="s">
        <v>186</v>
      </c>
      <c r="E218" t="s">
        <v>19</v>
      </c>
      <c r="F218" t="s">
        <v>123</v>
      </c>
      <c r="G218" t="s">
        <v>361</v>
      </c>
      <c r="H218" t="s">
        <v>402</v>
      </c>
      <c r="I218" t="s">
        <v>376</v>
      </c>
      <c r="J218">
        <f>3*365</f>
        <v>1095</v>
      </c>
      <c r="K218" t="s">
        <v>406</v>
      </c>
      <c r="L218" t="s">
        <v>406</v>
      </c>
      <c r="M218" t="s">
        <v>406</v>
      </c>
      <c r="R218" t="s">
        <v>278</v>
      </c>
      <c r="S218" t="s">
        <v>374</v>
      </c>
      <c r="T218" t="s">
        <v>258</v>
      </c>
      <c r="U218" t="s">
        <v>281</v>
      </c>
      <c r="W218" s="1">
        <f>[23]Sheet1!E10</f>
        <v>3.9E-2</v>
      </c>
      <c r="X218" s="1" t="s">
        <v>242</v>
      </c>
      <c r="AD218" t="s">
        <v>223</v>
      </c>
    </row>
    <row r="219" spans="1:30" x14ac:dyDescent="0.35">
      <c r="A219" t="s">
        <v>179</v>
      </c>
      <c r="B219" t="s">
        <v>180</v>
      </c>
      <c r="C219" t="s">
        <v>187</v>
      </c>
      <c r="D219" t="s">
        <v>186</v>
      </c>
      <c r="E219" t="s">
        <v>19</v>
      </c>
      <c r="F219" t="s">
        <v>123</v>
      </c>
      <c r="G219" t="s">
        <v>361</v>
      </c>
      <c r="H219" t="s">
        <v>402</v>
      </c>
      <c r="I219" t="s">
        <v>376</v>
      </c>
      <c r="J219">
        <f>3*365</f>
        <v>1095</v>
      </c>
      <c r="K219" t="s">
        <v>406</v>
      </c>
      <c r="L219" t="s">
        <v>406</v>
      </c>
      <c r="M219" t="s">
        <v>406</v>
      </c>
      <c r="R219" t="s">
        <v>279</v>
      </c>
      <c r="S219" t="s">
        <v>374</v>
      </c>
      <c r="T219" t="s">
        <v>258</v>
      </c>
      <c r="U219" t="s">
        <v>281</v>
      </c>
      <c r="W219" s="1">
        <f>[23]Sheet1!E11</f>
        <v>0.36299999999999999</v>
      </c>
      <c r="X219" s="1" t="s">
        <v>242</v>
      </c>
      <c r="AD219" t="s">
        <v>223</v>
      </c>
    </row>
    <row r="220" spans="1:30" x14ac:dyDescent="0.35">
      <c r="A220" t="s">
        <v>179</v>
      </c>
      <c r="B220" t="s">
        <v>180</v>
      </c>
      <c r="C220" t="s">
        <v>187</v>
      </c>
      <c r="D220" t="s">
        <v>186</v>
      </c>
      <c r="E220" t="s">
        <v>19</v>
      </c>
      <c r="F220" t="s">
        <v>123</v>
      </c>
      <c r="G220" t="s">
        <v>361</v>
      </c>
      <c r="H220" t="s">
        <v>402</v>
      </c>
      <c r="I220" t="s">
        <v>376</v>
      </c>
      <c r="J220">
        <f>3*365</f>
        <v>1095</v>
      </c>
      <c r="K220" t="s">
        <v>406</v>
      </c>
      <c r="L220" t="s">
        <v>406</v>
      </c>
      <c r="M220" t="s">
        <v>406</v>
      </c>
      <c r="R220" t="s">
        <v>280</v>
      </c>
      <c r="S220" t="s">
        <v>374</v>
      </c>
      <c r="T220" t="s">
        <v>258</v>
      </c>
      <c r="U220" t="s">
        <v>281</v>
      </c>
      <c r="W220" s="1">
        <f>[23]Sheet1!E12</f>
        <v>0.74099999999999999</v>
      </c>
      <c r="X220" s="1" t="s">
        <v>242</v>
      </c>
      <c r="AD220" t="s">
        <v>223</v>
      </c>
    </row>
    <row r="221" spans="1:30" x14ac:dyDescent="0.35">
      <c r="A221" t="s">
        <v>179</v>
      </c>
      <c r="B221" t="s">
        <v>181</v>
      </c>
      <c r="C221" t="s">
        <v>188</v>
      </c>
      <c r="D221" t="s">
        <v>186</v>
      </c>
      <c r="E221" t="s">
        <v>19</v>
      </c>
      <c r="F221" s="4" t="s">
        <v>75</v>
      </c>
      <c r="G221" t="s">
        <v>74</v>
      </c>
      <c r="H221" t="s">
        <v>74</v>
      </c>
      <c r="I221" t="s">
        <v>74</v>
      </c>
      <c r="J221">
        <f>+AVERAGE(6,7)*365</f>
        <v>2372.5</v>
      </c>
      <c r="K221" t="s">
        <v>406</v>
      </c>
      <c r="L221" t="s">
        <v>406</v>
      </c>
      <c r="M221" t="s">
        <v>406</v>
      </c>
      <c r="R221" t="s">
        <v>278</v>
      </c>
      <c r="S221" t="s">
        <v>374</v>
      </c>
      <c r="T221" t="s">
        <v>258</v>
      </c>
      <c r="U221" t="s">
        <v>281</v>
      </c>
      <c r="W221" s="1">
        <v>0.11700000000000001</v>
      </c>
      <c r="X221" s="1" t="s">
        <v>242</v>
      </c>
      <c r="AD221" t="s">
        <v>223</v>
      </c>
    </row>
    <row r="222" spans="1:30" x14ac:dyDescent="0.35">
      <c r="A222" t="s">
        <v>179</v>
      </c>
      <c r="B222" t="s">
        <v>181</v>
      </c>
      <c r="C222" t="s">
        <v>188</v>
      </c>
      <c r="D222" t="s">
        <v>186</v>
      </c>
      <c r="E222" t="s">
        <v>19</v>
      </c>
      <c r="F222" s="4" t="s">
        <v>75</v>
      </c>
      <c r="G222" t="s">
        <v>74</v>
      </c>
      <c r="H222" t="s">
        <v>74</v>
      </c>
      <c r="I222" t="s">
        <v>74</v>
      </c>
      <c r="J222">
        <f t="shared" ref="J222:J223" si="19">+AVERAGE(6,7)*365</f>
        <v>2372.5</v>
      </c>
      <c r="K222" t="s">
        <v>406</v>
      </c>
      <c r="L222" t="s">
        <v>406</v>
      </c>
      <c r="M222" t="s">
        <v>406</v>
      </c>
      <c r="R222" t="s">
        <v>279</v>
      </c>
      <c r="S222" t="s">
        <v>374</v>
      </c>
      <c r="T222" t="s">
        <v>258</v>
      </c>
      <c r="U222" t="s">
        <v>281</v>
      </c>
      <c r="W222" s="1">
        <f>+AVERAGE(W223,W221)</f>
        <v>0.44850000000000001</v>
      </c>
      <c r="X222" s="1" t="s">
        <v>242</v>
      </c>
      <c r="AD222" t="s">
        <v>223</v>
      </c>
    </row>
    <row r="223" spans="1:30" x14ac:dyDescent="0.35">
      <c r="A223" t="s">
        <v>179</v>
      </c>
      <c r="B223" t="s">
        <v>181</v>
      </c>
      <c r="C223" t="s">
        <v>188</v>
      </c>
      <c r="D223" t="s">
        <v>186</v>
      </c>
      <c r="E223" t="s">
        <v>19</v>
      </c>
      <c r="F223" s="4" t="s">
        <v>75</v>
      </c>
      <c r="G223" t="s">
        <v>74</v>
      </c>
      <c r="H223" t="s">
        <v>74</v>
      </c>
      <c r="I223" t="s">
        <v>74</v>
      </c>
      <c r="J223">
        <f t="shared" si="19"/>
        <v>2372.5</v>
      </c>
      <c r="K223" t="s">
        <v>406</v>
      </c>
      <c r="L223" t="s">
        <v>406</v>
      </c>
      <c r="M223" t="s">
        <v>406</v>
      </c>
      <c r="R223" t="s">
        <v>280</v>
      </c>
      <c r="S223" t="s">
        <v>374</v>
      </c>
      <c r="T223" t="s">
        <v>258</v>
      </c>
      <c r="U223" t="s">
        <v>281</v>
      </c>
      <c r="W223" s="1">
        <v>0.78</v>
      </c>
      <c r="X223" s="1" t="s">
        <v>242</v>
      </c>
      <c r="AD223" t="s">
        <v>223</v>
      </c>
    </row>
    <row r="224" spans="1:30" x14ac:dyDescent="0.35">
      <c r="A224" t="s">
        <v>179</v>
      </c>
      <c r="B224" t="s">
        <v>182</v>
      </c>
      <c r="C224" t="s">
        <v>187</v>
      </c>
      <c r="D224" t="s">
        <v>186</v>
      </c>
      <c r="E224" t="s">
        <v>19</v>
      </c>
      <c r="F224" t="s">
        <v>123</v>
      </c>
      <c r="G224" t="s">
        <v>361</v>
      </c>
      <c r="H224" t="s">
        <v>402</v>
      </c>
      <c r="I224" t="s">
        <v>376</v>
      </c>
      <c r="J224">
        <f>+AVERAGE(10,15)*365</f>
        <v>4562.5</v>
      </c>
      <c r="K224" t="s">
        <v>406</v>
      </c>
      <c r="L224" t="s">
        <v>406</v>
      </c>
      <c r="M224" t="s">
        <v>406</v>
      </c>
      <c r="R224" t="s">
        <v>278</v>
      </c>
      <c r="S224" t="s">
        <v>374</v>
      </c>
      <c r="T224" t="s">
        <v>258</v>
      </c>
      <c r="U224" t="s">
        <v>281</v>
      </c>
      <c r="W224" s="1">
        <v>0.03</v>
      </c>
      <c r="X224" s="1" t="s">
        <v>242</v>
      </c>
      <c r="AD224" t="s">
        <v>223</v>
      </c>
    </row>
    <row r="225" spans="1:30" x14ac:dyDescent="0.35">
      <c r="A225" t="s">
        <v>179</v>
      </c>
      <c r="B225" t="s">
        <v>182</v>
      </c>
      <c r="C225" t="s">
        <v>187</v>
      </c>
      <c r="D225" t="s">
        <v>186</v>
      </c>
      <c r="E225" t="s">
        <v>19</v>
      </c>
      <c r="F225" t="s">
        <v>123</v>
      </c>
      <c r="G225" t="s">
        <v>361</v>
      </c>
      <c r="H225" t="s">
        <v>402</v>
      </c>
      <c r="I225" t="s">
        <v>376</v>
      </c>
      <c r="J225">
        <f>+AVERAGE(10,15)*365</f>
        <v>4562.5</v>
      </c>
      <c r="K225" t="s">
        <v>406</v>
      </c>
      <c r="L225" t="s">
        <v>406</v>
      </c>
      <c r="M225" t="s">
        <v>406</v>
      </c>
      <c r="R225" t="s">
        <v>279</v>
      </c>
      <c r="S225" t="s">
        <v>374</v>
      </c>
      <c r="T225" t="s">
        <v>258</v>
      </c>
      <c r="U225" t="s">
        <v>281</v>
      </c>
      <c r="W225" s="1">
        <f>+AVERAGE(W226,W224)</f>
        <v>0.09</v>
      </c>
      <c r="X225" s="1" t="s">
        <v>242</v>
      </c>
      <c r="AD225" t="s">
        <v>223</v>
      </c>
    </row>
    <row r="226" spans="1:30" x14ac:dyDescent="0.35">
      <c r="A226" t="s">
        <v>179</v>
      </c>
      <c r="B226" t="s">
        <v>182</v>
      </c>
      <c r="C226" t="s">
        <v>187</v>
      </c>
      <c r="D226" t="s">
        <v>186</v>
      </c>
      <c r="E226" t="s">
        <v>19</v>
      </c>
      <c r="F226" t="s">
        <v>123</v>
      </c>
      <c r="G226" t="s">
        <v>361</v>
      </c>
      <c r="H226" t="s">
        <v>402</v>
      </c>
      <c r="I226" t="s">
        <v>376</v>
      </c>
      <c r="J226">
        <f t="shared" ref="J226" si="20">+AVERAGE(10,15)*365</f>
        <v>4562.5</v>
      </c>
      <c r="K226" t="s">
        <v>406</v>
      </c>
      <c r="L226" t="s">
        <v>406</v>
      </c>
      <c r="M226" t="s">
        <v>406</v>
      </c>
      <c r="R226" t="s">
        <v>280</v>
      </c>
      <c r="S226" t="s">
        <v>374</v>
      </c>
      <c r="T226" t="s">
        <v>258</v>
      </c>
      <c r="U226" t="s">
        <v>281</v>
      </c>
      <c r="W226" s="1">
        <v>0.15</v>
      </c>
      <c r="X226" s="1" t="s">
        <v>242</v>
      </c>
      <c r="AD226" t="s">
        <v>223</v>
      </c>
    </row>
    <row r="227" spans="1:30" x14ac:dyDescent="0.35">
      <c r="A227" t="s">
        <v>179</v>
      </c>
      <c r="B227" t="s">
        <v>180</v>
      </c>
      <c r="C227" t="s">
        <v>187</v>
      </c>
      <c r="D227" t="s">
        <v>186</v>
      </c>
      <c r="E227" t="s">
        <v>19</v>
      </c>
      <c r="F227" t="s">
        <v>123</v>
      </c>
      <c r="G227" t="s">
        <v>361</v>
      </c>
      <c r="H227" t="s">
        <v>402</v>
      </c>
      <c r="I227" t="s">
        <v>376</v>
      </c>
      <c r="J227">
        <f>3*365</f>
        <v>1095</v>
      </c>
      <c r="K227" t="s">
        <v>406</v>
      </c>
      <c r="L227" t="s">
        <v>406</v>
      </c>
      <c r="M227" t="s">
        <v>406</v>
      </c>
      <c r="R227" t="s">
        <v>279</v>
      </c>
      <c r="S227" t="s">
        <v>220</v>
      </c>
      <c r="T227" t="s">
        <v>258</v>
      </c>
      <c r="U227" t="s">
        <v>281</v>
      </c>
      <c r="W227" s="1">
        <f>[24]Pate_etal_1995_Fig3!D2</f>
        <v>6.3731170336036903E-3</v>
      </c>
      <c r="X227" s="1" t="s">
        <v>242</v>
      </c>
      <c r="AD227" t="s">
        <v>223</v>
      </c>
    </row>
    <row r="228" spans="1:30" x14ac:dyDescent="0.35">
      <c r="A228" t="s">
        <v>179</v>
      </c>
      <c r="B228" t="s">
        <v>180</v>
      </c>
      <c r="C228" t="s">
        <v>187</v>
      </c>
      <c r="D228" t="s">
        <v>186</v>
      </c>
      <c r="E228" t="s">
        <v>19</v>
      </c>
      <c r="F228" t="s">
        <v>123</v>
      </c>
      <c r="G228" t="s">
        <v>361</v>
      </c>
      <c r="H228" t="s">
        <v>402</v>
      </c>
      <c r="I228" t="s">
        <v>376</v>
      </c>
      <c r="J228">
        <f>4*365</f>
        <v>1460</v>
      </c>
      <c r="K228" t="s">
        <v>406</v>
      </c>
      <c r="L228" t="s">
        <v>406</v>
      </c>
      <c r="M228" t="s">
        <v>406</v>
      </c>
      <c r="R228" t="s">
        <v>279</v>
      </c>
      <c r="S228" t="s">
        <v>220</v>
      </c>
      <c r="T228" t="s">
        <v>258</v>
      </c>
      <c r="U228" t="s">
        <v>281</v>
      </c>
      <c r="W228" s="1">
        <f>[24]Pate_etal_1995_Fig3!D3</f>
        <v>6.9524913093858397E-3</v>
      </c>
      <c r="X228" s="1" t="s">
        <v>242</v>
      </c>
      <c r="AD228" t="s">
        <v>223</v>
      </c>
    </row>
    <row r="229" spans="1:30" x14ac:dyDescent="0.35">
      <c r="A229" t="s">
        <v>179</v>
      </c>
      <c r="B229" t="s">
        <v>180</v>
      </c>
      <c r="C229" t="s">
        <v>187</v>
      </c>
      <c r="D229" t="s">
        <v>186</v>
      </c>
      <c r="E229" t="s">
        <v>19</v>
      </c>
      <c r="F229" t="s">
        <v>123</v>
      </c>
      <c r="G229" t="s">
        <v>361</v>
      </c>
      <c r="H229" t="s">
        <v>402</v>
      </c>
      <c r="I229" t="s">
        <v>376</v>
      </c>
      <c r="J229">
        <f>5*365</f>
        <v>1825</v>
      </c>
      <c r="K229" t="s">
        <v>406</v>
      </c>
      <c r="L229" t="s">
        <v>406</v>
      </c>
      <c r="M229" t="s">
        <v>406</v>
      </c>
      <c r="R229" t="s">
        <v>279</v>
      </c>
      <c r="S229" t="s">
        <v>220</v>
      </c>
      <c r="T229" t="s">
        <v>258</v>
      </c>
      <c r="U229" t="s">
        <v>281</v>
      </c>
      <c r="W229" s="1">
        <f>[24]Pate_etal_1995_Fig3!D4</f>
        <v>1.04287369640787E-2</v>
      </c>
      <c r="X229" s="1" t="s">
        <v>242</v>
      </c>
      <c r="AD229" t="s">
        <v>223</v>
      </c>
    </row>
    <row r="230" spans="1:30" x14ac:dyDescent="0.35">
      <c r="A230" t="s">
        <v>179</v>
      </c>
      <c r="B230" t="s">
        <v>180</v>
      </c>
      <c r="C230" t="s">
        <v>187</v>
      </c>
      <c r="D230" t="s">
        <v>186</v>
      </c>
      <c r="E230" t="s">
        <v>19</v>
      </c>
      <c r="F230" t="s">
        <v>123</v>
      </c>
      <c r="G230" t="s">
        <v>361</v>
      </c>
      <c r="H230" t="s">
        <v>402</v>
      </c>
      <c r="I230" t="s">
        <v>376</v>
      </c>
      <c r="J230">
        <f>6*365</f>
        <v>2190</v>
      </c>
      <c r="K230" t="s">
        <v>406</v>
      </c>
      <c r="L230" t="s">
        <v>406</v>
      </c>
      <c r="M230" t="s">
        <v>406</v>
      </c>
      <c r="R230" t="s">
        <v>279</v>
      </c>
      <c r="S230" t="s">
        <v>220</v>
      </c>
      <c r="T230" t="s">
        <v>258</v>
      </c>
      <c r="U230" t="s">
        <v>281</v>
      </c>
      <c r="W230" s="1">
        <f>[24]Pate_etal_1995_Fig3!D5</f>
        <v>1.04287369640787E-2</v>
      </c>
      <c r="X230" s="1" t="s">
        <v>242</v>
      </c>
      <c r="AD230" t="s">
        <v>223</v>
      </c>
    </row>
    <row r="231" spans="1:30" x14ac:dyDescent="0.35">
      <c r="A231" t="s">
        <v>179</v>
      </c>
      <c r="B231" t="s">
        <v>180</v>
      </c>
      <c r="C231" t="s">
        <v>187</v>
      </c>
      <c r="D231" t="s">
        <v>186</v>
      </c>
      <c r="E231" t="s">
        <v>19</v>
      </c>
      <c r="F231" t="s">
        <v>123</v>
      </c>
      <c r="G231" t="s">
        <v>361</v>
      </c>
      <c r="H231" t="s">
        <v>402</v>
      </c>
      <c r="I231" t="s">
        <v>376</v>
      </c>
      <c r="J231">
        <f>7*365</f>
        <v>2555</v>
      </c>
      <c r="K231" t="s">
        <v>406</v>
      </c>
      <c r="L231" t="s">
        <v>406</v>
      </c>
      <c r="M231" t="s">
        <v>406</v>
      </c>
      <c r="R231" t="s">
        <v>279</v>
      </c>
      <c r="S231" t="s">
        <v>220</v>
      </c>
      <c r="T231" t="s">
        <v>258</v>
      </c>
      <c r="U231" t="s">
        <v>281</v>
      </c>
      <c r="W231" s="1">
        <f>[24]Pate_etal_1995_Fig3!D6</f>
        <v>4.7508690614136602E-2</v>
      </c>
      <c r="X231" s="1" t="s">
        <v>242</v>
      </c>
      <c r="AD231" t="s">
        <v>223</v>
      </c>
    </row>
    <row r="232" spans="1:30" x14ac:dyDescent="0.35">
      <c r="A232" t="s">
        <v>179</v>
      </c>
      <c r="B232" t="s">
        <v>180</v>
      </c>
      <c r="C232" t="s">
        <v>187</v>
      </c>
      <c r="D232" t="s">
        <v>186</v>
      </c>
      <c r="E232" t="s">
        <v>19</v>
      </c>
      <c r="F232" t="s">
        <v>123</v>
      </c>
      <c r="G232" t="s">
        <v>361</v>
      </c>
      <c r="H232" t="s">
        <v>402</v>
      </c>
      <c r="I232" t="s">
        <v>376</v>
      </c>
      <c r="J232">
        <f>3*365</f>
        <v>1095</v>
      </c>
      <c r="K232" t="s">
        <v>406</v>
      </c>
      <c r="L232" t="s">
        <v>406</v>
      </c>
      <c r="M232" t="s">
        <v>406</v>
      </c>
      <c r="R232" t="s">
        <v>279</v>
      </c>
      <c r="S232" t="s">
        <v>374</v>
      </c>
      <c r="T232" t="s">
        <v>258</v>
      </c>
      <c r="U232" t="s">
        <v>281</v>
      </c>
      <c r="W232" s="1">
        <f>[24]Pate_etal_1995_Fig3!D7</f>
        <v>0.12688296639629101</v>
      </c>
      <c r="X232" s="1" t="s">
        <v>242</v>
      </c>
      <c r="AD232" t="s">
        <v>223</v>
      </c>
    </row>
    <row r="233" spans="1:30" x14ac:dyDescent="0.35">
      <c r="A233" t="s">
        <v>179</v>
      </c>
      <c r="B233" t="s">
        <v>180</v>
      </c>
      <c r="C233" t="s">
        <v>187</v>
      </c>
      <c r="D233" t="s">
        <v>186</v>
      </c>
      <c r="E233" t="s">
        <v>19</v>
      </c>
      <c r="F233" t="s">
        <v>123</v>
      </c>
      <c r="G233" t="s">
        <v>361</v>
      </c>
      <c r="H233" t="s">
        <v>402</v>
      </c>
      <c r="I233" t="s">
        <v>376</v>
      </c>
      <c r="J233">
        <f>4*365</f>
        <v>1460</v>
      </c>
      <c r="K233" t="s">
        <v>406</v>
      </c>
      <c r="L233" t="s">
        <v>406</v>
      </c>
      <c r="M233" t="s">
        <v>406</v>
      </c>
      <c r="R233" t="s">
        <v>279</v>
      </c>
      <c r="S233" t="s">
        <v>374</v>
      </c>
      <c r="T233" t="s">
        <v>258</v>
      </c>
      <c r="U233" t="s">
        <v>281</v>
      </c>
      <c r="W233" s="1">
        <f>[24]Pate_etal_1995_Fig3!D8</f>
        <v>0.130359212050984</v>
      </c>
      <c r="X233" s="1" t="s">
        <v>242</v>
      </c>
      <c r="AD233" t="s">
        <v>223</v>
      </c>
    </row>
    <row r="234" spans="1:30" x14ac:dyDescent="0.35">
      <c r="A234" t="s">
        <v>179</v>
      </c>
      <c r="B234" t="s">
        <v>180</v>
      </c>
      <c r="C234" t="s">
        <v>187</v>
      </c>
      <c r="D234" t="s">
        <v>186</v>
      </c>
      <c r="E234" t="s">
        <v>19</v>
      </c>
      <c r="F234" t="s">
        <v>123</v>
      </c>
      <c r="G234" t="s">
        <v>361</v>
      </c>
      <c r="H234" t="s">
        <v>402</v>
      </c>
      <c r="I234" t="s">
        <v>376</v>
      </c>
      <c r="J234">
        <f>5*365</f>
        <v>1825</v>
      </c>
      <c r="K234" t="s">
        <v>406</v>
      </c>
      <c r="L234" t="s">
        <v>406</v>
      </c>
      <c r="M234" t="s">
        <v>406</v>
      </c>
      <c r="R234" t="s">
        <v>279</v>
      </c>
      <c r="S234" t="s">
        <v>374</v>
      </c>
      <c r="T234" t="s">
        <v>258</v>
      </c>
      <c r="U234" t="s">
        <v>281</v>
      </c>
      <c r="W234" s="1">
        <f>[24]Pate_etal_1995_Fig3!D9</f>
        <v>0.16338354577056699</v>
      </c>
      <c r="X234" s="1" t="s">
        <v>242</v>
      </c>
      <c r="AD234" t="s">
        <v>223</v>
      </c>
    </row>
    <row r="235" spans="1:30" x14ac:dyDescent="0.35">
      <c r="A235" t="s">
        <v>179</v>
      </c>
      <c r="B235" t="s">
        <v>180</v>
      </c>
      <c r="C235" t="s">
        <v>187</v>
      </c>
      <c r="D235" t="s">
        <v>186</v>
      </c>
      <c r="E235" t="s">
        <v>19</v>
      </c>
      <c r="F235" t="s">
        <v>123</v>
      </c>
      <c r="G235" t="s">
        <v>361</v>
      </c>
      <c r="H235" t="s">
        <v>402</v>
      </c>
      <c r="I235" t="s">
        <v>376</v>
      </c>
      <c r="J235">
        <f>6*365</f>
        <v>2190</v>
      </c>
      <c r="K235" t="s">
        <v>406</v>
      </c>
      <c r="L235" t="s">
        <v>406</v>
      </c>
      <c r="M235" t="s">
        <v>406</v>
      </c>
      <c r="R235" t="s">
        <v>279</v>
      </c>
      <c r="S235" t="s">
        <v>374</v>
      </c>
      <c r="T235" t="s">
        <v>258</v>
      </c>
      <c r="U235" t="s">
        <v>281</v>
      </c>
      <c r="W235" s="1">
        <f>[24]Pate_etal_1995_Fig3!D10</f>
        <v>0.22132097334878301</v>
      </c>
      <c r="X235" s="1" t="s">
        <v>242</v>
      </c>
      <c r="AD235" t="s">
        <v>223</v>
      </c>
    </row>
    <row r="236" spans="1:30" x14ac:dyDescent="0.35">
      <c r="A236" t="s">
        <v>179</v>
      </c>
      <c r="B236" t="s">
        <v>180</v>
      </c>
      <c r="C236" t="s">
        <v>187</v>
      </c>
      <c r="D236" t="s">
        <v>186</v>
      </c>
      <c r="E236" t="s">
        <v>19</v>
      </c>
      <c r="F236" t="s">
        <v>123</v>
      </c>
      <c r="G236" t="s">
        <v>361</v>
      </c>
      <c r="H236" t="s">
        <v>402</v>
      </c>
      <c r="I236" t="s">
        <v>376</v>
      </c>
      <c r="J236">
        <f>7*365</f>
        <v>2555</v>
      </c>
      <c r="K236" t="s">
        <v>406</v>
      </c>
      <c r="L236" t="s">
        <v>406</v>
      </c>
      <c r="M236" t="s">
        <v>406</v>
      </c>
      <c r="R236" t="s">
        <v>279</v>
      </c>
      <c r="S236" t="s">
        <v>374</v>
      </c>
      <c r="T236" t="s">
        <v>258</v>
      </c>
      <c r="U236" t="s">
        <v>281</v>
      </c>
      <c r="W236" s="1">
        <f>[24]Pate_etal_1995_Fig3!D11</f>
        <v>0.19988412514484299</v>
      </c>
      <c r="X236" s="1" t="s">
        <v>242</v>
      </c>
      <c r="AD236" t="s">
        <v>223</v>
      </c>
    </row>
    <row r="237" spans="1:30" x14ac:dyDescent="0.35">
      <c r="A237" t="s">
        <v>224</v>
      </c>
      <c r="B237" t="s">
        <v>225</v>
      </c>
      <c r="C237" t="s">
        <v>130</v>
      </c>
      <c r="D237" t="s">
        <v>131</v>
      </c>
      <c r="E237" t="s">
        <v>133</v>
      </c>
      <c r="F237" t="s">
        <v>134</v>
      </c>
      <c r="G237" t="s">
        <v>134</v>
      </c>
      <c r="H237" t="s">
        <v>134</v>
      </c>
      <c r="I237" t="s">
        <v>134</v>
      </c>
      <c r="J237">
        <f>2*7</f>
        <v>14</v>
      </c>
      <c r="K237" t="s">
        <v>406</v>
      </c>
      <c r="L237" t="s">
        <v>406</v>
      </c>
      <c r="M237" t="s">
        <v>406</v>
      </c>
      <c r="R237" t="s">
        <v>279</v>
      </c>
      <c r="S237" t="s">
        <v>220</v>
      </c>
      <c r="T237" t="s">
        <v>215</v>
      </c>
      <c r="U237" t="s">
        <v>281</v>
      </c>
      <c r="V237" s="1">
        <v>8.0000000000000002E-13</v>
      </c>
      <c r="W237" s="1">
        <f t="shared" ref="W237:W254" si="21">+V237/Y237*1000000</f>
        <v>1.5524944913704162E-6</v>
      </c>
      <c r="X237" s="1" t="s">
        <v>234</v>
      </c>
      <c r="Y237" s="3">
        <f t="shared" ref="Y237:Y254" si="22">+(AA237/2)^2*PI()</f>
        <v>0.51529973500506587</v>
      </c>
      <c r="AA237">
        <v>0.81</v>
      </c>
      <c r="AD237" t="s">
        <v>223</v>
      </c>
    </row>
    <row r="238" spans="1:30" x14ac:dyDescent="0.35">
      <c r="A238" t="s">
        <v>224</v>
      </c>
      <c r="B238" t="s">
        <v>225</v>
      </c>
      <c r="C238" t="s">
        <v>130</v>
      </c>
      <c r="D238" t="s">
        <v>131</v>
      </c>
      <c r="E238" t="s">
        <v>133</v>
      </c>
      <c r="F238" t="s">
        <v>134</v>
      </c>
      <c r="G238" t="s">
        <v>134</v>
      </c>
      <c r="H238" t="s">
        <v>134</v>
      </c>
      <c r="I238" t="s">
        <v>134</v>
      </c>
      <c r="J238">
        <f>6*7</f>
        <v>42</v>
      </c>
      <c r="K238" t="s">
        <v>406</v>
      </c>
      <c r="L238" t="s">
        <v>406</v>
      </c>
      <c r="M238" t="s">
        <v>406</v>
      </c>
      <c r="R238" t="s">
        <v>279</v>
      </c>
      <c r="S238" t="s">
        <v>220</v>
      </c>
      <c r="T238" t="s">
        <v>216</v>
      </c>
      <c r="U238" t="s">
        <v>281</v>
      </c>
      <c r="V238" s="1">
        <v>1.32E-12</v>
      </c>
      <c r="W238" s="1">
        <f t="shared" si="21"/>
        <v>2.5616159107611871E-6</v>
      </c>
      <c r="X238" s="1" t="s">
        <v>234</v>
      </c>
      <c r="Y238" s="3">
        <f t="shared" si="22"/>
        <v>0.51529973500506587</v>
      </c>
      <c r="AA238">
        <v>0.81</v>
      </c>
      <c r="AD238" t="s">
        <v>223</v>
      </c>
    </row>
    <row r="239" spans="1:30" x14ac:dyDescent="0.35">
      <c r="A239" t="s">
        <v>224</v>
      </c>
      <c r="B239" t="s">
        <v>226</v>
      </c>
      <c r="C239" t="s">
        <v>130</v>
      </c>
      <c r="D239" t="s">
        <v>131</v>
      </c>
      <c r="E239" t="s">
        <v>133</v>
      </c>
      <c r="F239" t="s">
        <v>134</v>
      </c>
      <c r="G239" t="s">
        <v>134</v>
      </c>
      <c r="H239" t="s">
        <v>134</v>
      </c>
      <c r="I239" t="s">
        <v>134</v>
      </c>
      <c r="J239">
        <f>2*7</f>
        <v>14</v>
      </c>
      <c r="K239" t="s">
        <v>406</v>
      </c>
      <c r="L239" t="s">
        <v>406</v>
      </c>
      <c r="M239" t="s">
        <v>406</v>
      </c>
      <c r="R239" t="s">
        <v>279</v>
      </c>
      <c r="S239" t="s">
        <v>220</v>
      </c>
      <c r="T239" t="s">
        <v>215</v>
      </c>
      <c r="U239" t="s">
        <v>281</v>
      </c>
      <c r="V239" s="1">
        <v>7.6999999999999995E-13</v>
      </c>
      <c r="W239" s="1">
        <f t="shared" si="21"/>
        <v>1.4580524233284882E-6</v>
      </c>
      <c r="X239" s="1" t="s">
        <v>234</v>
      </c>
      <c r="Y239" s="3">
        <f t="shared" si="22"/>
        <v>0.52810172506844411</v>
      </c>
      <c r="AA239">
        <v>0.82</v>
      </c>
      <c r="AD239" t="s">
        <v>223</v>
      </c>
    </row>
    <row r="240" spans="1:30" x14ac:dyDescent="0.35">
      <c r="A240" t="s">
        <v>224</v>
      </c>
      <c r="B240" t="s">
        <v>226</v>
      </c>
      <c r="C240" t="s">
        <v>130</v>
      </c>
      <c r="D240" t="s">
        <v>131</v>
      </c>
      <c r="E240" t="s">
        <v>133</v>
      </c>
      <c r="F240" t="s">
        <v>134</v>
      </c>
      <c r="G240" t="s">
        <v>134</v>
      </c>
      <c r="H240" t="s">
        <v>134</v>
      </c>
      <c r="I240" t="s">
        <v>134</v>
      </c>
      <c r="J240">
        <f>6*7</f>
        <v>42</v>
      </c>
      <c r="K240" t="s">
        <v>406</v>
      </c>
      <c r="L240" t="s">
        <v>406</v>
      </c>
      <c r="M240" t="s">
        <v>406</v>
      </c>
      <c r="R240" t="s">
        <v>279</v>
      </c>
      <c r="S240" t="s">
        <v>220</v>
      </c>
      <c r="T240" t="s">
        <v>216</v>
      </c>
      <c r="U240" t="s">
        <v>281</v>
      </c>
      <c r="V240" s="1">
        <v>2.0199999999999999E-12</v>
      </c>
      <c r="W240" s="1">
        <f t="shared" si="21"/>
        <v>3.8250206430175923E-6</v>
      </c>
      <c r="X240" s="1" t="s">
        <v>234</v>
      </c>
      <c r="Y240" s="3">
        <f t="shared" si="22"/>
        <v>0.52810172506844411</v>
      </c>
      <c r="AA240">
        <v>0.82</v>
      </c>
      <c r="AD240" t="s">
        <v>223</v>
      </c>
    </row>
    <row r="241" spans="1:30" x14ac:dyDescent="0.35">
      <c r="A241" t="s">
        <v>224</v>
      </c>
      <c r="B241" t="s">
        <v>226</v>
      </c>
      <c r="C241" t="s">
        <v>130</v>
      </c>
      <c r="D241" t="s">
        <v>131</v>
      </c>
      <c r="E241" t="s">
        <v>133</v>
      </c>
      <c r="F241" t="s">
        <v>134</v>
      </c>
      <c r="G241" t="s">
        <v>134</v>
      </c>
      <c r="H241" t="s">
        <v>134</v>
      </c>
      <c r="I241" t="s">
        <v>134</v>
      </c>
      <c r="J241">
        <f>[25]Nobel_etal_1993_Fig4b!C2</f>
        <v>7</v>
      </c>
      <c r="K241" t="s">
        <v>406</v>
      </c>
      <c r="L241" t="s">
        <v>406</v>
      </c>
      <c r="M241" t="s">
        <v>406</v>
      </c>
      <c r="R241" t="s">
        <v>279</v>
      </c>
      <c r="S241" t="s">
        <v>128</v>
      </c>
      <c r="T241" t="s">
        <v>215</v>
      </c>
      <c r="U241" t="s">
        <v>281</v>
      </c>
      <c r="V241" s="1">
        <f>[25]Nobel_etal_1993_Fig4b!D2</f>
        <v>8.9908256880734699E-13</v>
      </c>
      <c r="W241" s="1">
        <f t="shared" si="21"/>
        <v>9.7301930368093842E-8</v>
      </c>
      <c r="X241" s="1" t="s">
        <v>234</v>
      </c>
      <c r="Y241" s="3">
        <f t="shared" si="22"/>
        <v>9.2401308525546391</v>
      </c>
      <c r="AA241">
        <v>3.43</v>
      </c>
      <c r="AD241" t="s">
        <v>223</v>
      </c>
    </row>
    <row r="242" spans="1:30" x14ac:dyDescent="0.35">
      <c r="A242" t="s">
        <v>224</v>
      </c>
      <c r="B242" t="s">
        <v>226</v>
      </c>
      <c r="C242" t="s">
        <v>130</v>
      </c>
      <c r="D242" t="s">
        <v>131</v>
      </c>
      <c r="E242" t="s">
        <v>133</v>
      </c>
      <c r="F242" t="s">
        <v>134</v>
      </c>
      <c r="G242" t="s">
        <v>134</v>
      </c>
      <c r="H242" t="s">
        <v>134</v>
      </c>
      <c r="I242" t="s">
        <v>134</v>
      </c>
      <c r="J242">
        <f>[25]Nobel_etal_1993_Fig4b!C3</f>
        <v>14</v>
      </c>
      <c r="K242" t="s">
        <v>406</v>
      </c>
      <c r="L242" t="s">
        <v>406</v>
      </c>
      <c r="M242" t="s">
        <v>406</v>
      </c>
      <c r="R242" t="s">
        <v>279</v>
      </c>
      <c r="S242" t="s">
        <v>128</v>
      </c>
      <c r="T242" t="s">
        <v>215</v>
      </c>
      <c r="U242" t="s">
        <v>281</v>
      </c>
      <c r="V242" s="1">
        <f>[25]Nobel_etal_1993_Fig4b!D3</f>
        <v>1.76146788990826E-12</v>
      </c>
      <c r="W242" s="1">
        <f t="shared" si="21"/>
        <v>1.9063235337422338E-7</v>
      </c>
      <c r="X242" s="1" t="s">
        <v>234</v>
      </c>
      <c r="Y242" s="3">
        <f t="shared" si="22"/>
        <v>9.2401308525546391</v>
      </c>
      <c r="AA242">
        <v>3.43</v>
      </c>
      <c r="AD242" t="s">
        <v>223</v>
      </c>
    </row>
    <row r="243" spans="1:30" x14ac:dyDescent="0.35">
      <c r="A243" t="s">
        <v>224</v>
      </c>
      <c r="B243" t="s">
        <v>226</v>
      </c>
      <c r="C243" t="s">
        <v>130</v>
      </c>
      <c r="D243" t="s">
        <v>131</v>
      </c>
      <c r="E243" t="s">
        <v>133</v>
      </c>
      <c r="F243" t="s">
        <v>134</v>
      </c>
      <c r="G243" t="s">
        <v>134</v>
      </c>
      <c r="H243" t="s">
        <v>134</v>
      </c>
      <c r="I243" t="s">
        <v>134</v>
      </c>
      <c r="J243">
        <f>[25]Nobel_etal_1993_Fig4b!C4</f>
        <v>28</v>
      </c>
      <c r="K243" t="s">
        <v>406</v>
      </c>
      <c r="L243" t="s">
        <v>406</v>
      </c>
      <c r="M243" t="s">
        <v>406</v>
      </c>
      <c r="R243" t="s">
        <v>279</v>
      </c>
      <c r="S243" t="s">
        <v>128</v>
      </c>
      <c r="T243" t="s">
        <v>214</v>
      </c>
      <c r="U243" t="s">
        <v>281</v>
      </c>
      <c r="V243" s="1">
        <f>[25]Nobel_etal_1993_Fig4b!D4</f>
        <v>2.0366972477064301E-12</v>
      </c>
      <c r="W243" s="1">
        <f t="shared" si="21"/>
        <v>2.2041865858894628E-7</v>
      </c>
      <c r="X243" s="1" t="s">
        <v>234</v>
      </c>
      <c r="Y243" s="3">
        <f t="shared" si="22"/>
        <v>9.2401308525546391</v>
      </c>
      <c r="AA243">
        <v>3.43</v>
      </c>
      <c r="AD243" t="s">
        <v>223</v>
      </c>
    </row>
    <row r="244" spans="1:30" x14ac:dyDescent="0.35">
      <c r="A244" t="s">
        <v>224</v>
      </c>
      <c r="B244" t="s">
        <v>226</v>
      </c>
      <c r="C244" t="s">
        <v>130</v>
      </c>
      <c r="D244" t="s">
        <v>131</v>
      </c>
      <c r="E244" t="s">
        <v>133</v>
      </c>
      <c r="F244" t="s">
        <v>134</v>
      </c>
      <c r="G244" t="s">
        <v>134</v>
      </c>
      <c r="H244" t="s">
        <v>134</v>
      </c>
      <c r="I244" t="s">
        <v>134</v>
      </c>
      <c r="J244">
        <f>[25]Nobel_etal_1993_Fig4b!C5</f>
        <v>42</v>
      </c>
      <c r="K244" t="s">
        <v>406</v>
      </c>
      <c r="L244" t="s">
        <v>406</v>
      </c>
      <c r="M244" t="s">
        <v>406</v>
      </c>
      <c r="R244" t="s">
        <v>279</v>
      </c>
      <c r="S244" t="s">
        <v>128</v>
      </c>
      <c r="T244" t="s">
        <v>214</v>
      </c>
      <c r="U244" t="s">
        <v>281</v>
      </c>
      <c r="V244" s="1">
        <f>[25]Nobel_etal_1993_Fig4b!D5</f>
        <v>2.3669724770642201E-12</v>
      </c>
      <c r="W244" s="1">
        <f t="shared" si="21"/>
        <v>2.5616222484661224E-7</v>
      </c>
      <c r="X244" s="1" t="s">
        <v>234</v>
      </c>
      <c r="Y244" s="3">
        <f t="shared" si="22"/>
        <v>9.2401308525546391</v>
      </c>
      <c r="AA244">
        <v>3.43</v>
      </c>
      <c r="AD244" t="s">
        <v>223</v>
      </c>
    </row>
    <row r="245" spans="1:30" x14ac:dyDescent="0.35">
      <c r="A245" t="s">
        <v>224</v>
      </c>
      <c r="B245" t="s">
        <v>226</v>
      </c>
      <c r="C245" t="s">
        <v>130</v>
      </c>
      <c r="D245" t="s">
        <v>131</v>
      </c>
      <c r="E245" t="s">
        <v>133</v>
      </c>
      <c r="F245" t="s">
        <v>134</v>
      </c>
      <c r="G245" t="s">
        <v>134</v>
      </c>
      <c r="H245" t="s">
        <v>134</v>
      </c>
      <c r="I245" t="s">
        <v>134</v>
      </c>
      <c r="J245">
        <f>[25]Nobel_etal_1993_Fig4b!C6</f>
        <v>56</v>
      </c>
      <c r="K245" t="s">
        <v>406</v>
      </c>
      <c r="L245" t="s">
        <v>406</v>
      </c>
      <c r="M245" t="s">
        <v>406</v>
      </c>
      <c r="R245" t="s">
        <v>279</v>
      </c>
      <c r="S245" t="s">
        <v>128</v>
      </c>
      <c r="T245" t="s">
        <v>214</v>
      </c>
      <c r="U245" t="s">
        <v>281</v>
      </c>
      <c r="V245" s="1">
        <f>[25]Nobel_etal_1993_Fig4b!D6</f>
        <v>2.91743119266056E-12</v>
      </c>
      <c r="W245" s="1">
        <f t="shared" si="21"/>
        <v>3.1573483527605794E-7</v>
      </c>
      <c r="X245" s="1" t="s">
        <v>234</v>
      </c>
      <c r="Y245" s="3">
        <f t="shared" si="22"/>
        <v>9.2401308525546391</v>
      </c>
      <c r="AA245">
        <v>3.43</v>
      </c>
      <c r="AD245" t="s">
        <v>223</v>
      </c>
    </row>
    <row r="246" spans="1:30" x14ac:dyDescent="0.35">
      <c r="A246" t="s">
        <v>224</v>
      </c>
      <c r="B246" t="s">
        <v>226</v>
      </c>
      <c r="C246" t="s">
        <v>130</v>
      </c>
      <c r="D246" t="s">
        <v>131</v>
      </c>
      <c r="E246" t="s">
        <v>133</v>
      </c>
      <c r="F246" t="s">
        <v>134</v>
      </c>
      <c r="G246" t="s">
        <v>134</v>
      </c>
      <c r="H246" t="s">
        <v>134</v>
      </c>
      <c r="I246" t="s">
        <v>134</v>
      </c>
      <c r="J246">
        <f>[25]Nobel_etal_1993_Fig4b!C7</f>
        <v>84</v>
      </c>
      <c r="K246" t="s">
        <v>406</v>
      </c>
      <c r="L246" t="s">
        <v>406</v>
      </c>
      <c r="M246" t="s">
        <v>406</v>
      </c>
      <c r="R246" t="s">
        <v>279</v>
      </c>
      <c r="S246" t="s">
        <v>128</v>
      </c>
      <c r="T246" t="s">
        <v>216</v>
      </c>
      <c r="U246" t="s">
        <v>281</v>
      </c>
      <c r="V246" s="1">
        <f>[25]Nobel_etal_1993_Fig4b!D7</f>
        <v>3.1743119266055098E-12</v>
      </c>
      <c r="W246" s="1">
        <f t="shared" si="21"/>
        <v>3.4353538680979834E-7</v>
      </c>
      <c r="X246" s="1" t="s">
        <v>234</v>
      </c>
      <c r="Y246" s="3">
        <f t="shared" si="22"/>
        <v>9.2401308525546391</v>
      </c>
      <c r="AA246">
        <v>3.43</v>
      </c>
      <c r="AD246" t="s">
        <v>223</v>
      </c>
    </row>
    <row r="247" spans="1:30" x14ac:dyDescent="0.35">
      <c r="A247" t="s">
        <v>224</v>
      </c>
      <c r="B247" t="s">
        <v>226</v>
      </c>
      <c r="C247" t="s">
        <v>130</v>
      </c>
      <c r="D247" t="s">
        <v>131</v>
      </c>
      <c r="E247" t="s">
        <v>133</v>
      </c>
      <c r="F247" t="s">
        <v>134</v>
      </c>
      <c r="G247" t="s">
        <v>134</v>
      </c>
      <c r="H247" t="s">
        <v>134</v>
      </c>
      <c r="I247" t="s">
        <v>134</v>
      </c>
      <c r="J247">
        <f>[25]Nobel_etal_1993_Fig4b!C8</f>
        <v>112</v>
      </c>
      <c r="K247" t="s">
        <v>406</v>
      </c>
      <c r="L247" t="s">
        <v>406</v>
      </c>
      <c r="M247" t="s">
        <v>406</v>
      </c>
      <c r="R247" t="s">
        <v>279</v>
      </c>
      <c r="S247" t="s">
        <v>128</v>
      </c>
      <c r="T247" t="s">
        <v>216</v>
      </c>
      <c r="U247" t="s">
        <v>281</v>
      </c>
      <c r="V247" s="1">
        <f>[25]Nobel_etal_1993_Fig4b!D8</f>
        <v>3.3211009174311998E-12</v>
      </c>
      <c r="W247" s="1">
        <f t="shared" si="21"/>
        <v>3.5942141625765051E-7</v>
      </c>
      <c r="X247" s="1" t="s">
        <v>234</v>
      </c>
      <c r="Y247" s="3">
        <f t="shared" si="22"/>
        <v>9.2401308525546391</v>
      </c>
      <c r="AA247">
        <v>3.43</v>
      </c>
      <c r="AD247" t="s">
        <v>223</v>
      </c>
    </row>
    <row r="248" spans="1:30" x14ac:dyDescent="0.35">
      <c r="A248" t="s">
        <v>224</v>
      </c>
      <c r="B248" t="s">
        <v>225</v>
      </c>
      <c r="C248" t="s">
        <v>130</v>
      </c>
      <c r="D248" t="s">
        <v>131</v>
      </c>
      <c r="E248" t="s">
        <v>133</v>
      </c>
      <c r="F248" t="s">
        <v>134</v>
      </c>
      <c r="G248" t="s">
        <v>134</v>
      </c>
      <c r="H248" t="s">
        <v>134</v>
      </c>
      <c r="I248" t="s">
        <v>134</v>
      </c>
      <c r="J248">
        <f>[25]Nobel_etal_1993_Fig4b!C9</f>
        <v>7</v>
      </c>
      <c r="K248" t="s">
        <v>406</v>
      </c>
      <c r="L248" t="s">
        <v>406</v>
      </c>
      <c r="M248" t="s">
        <v>406</v>
      </c>
      <c r="R248" t="s">
        <v>279</v>
      </c>
      <c r="S248" t="s">
        <v>128</v>
      </c>
      <c r="T248" t="s">
        <v>215</v>
      </c>
      <c r="U248" t="s">
        <v>281</v>
      </c>
      <c r="V248" s="1">
        <f>[25]Nobel_etal_1993_Fig4b!D9</f>
        <v>9.3577981651376808E-13</v>
      </c>
      <c r="W248" s="1">
        <f t="shared" si="21"/>
        <v>8.8945016837644022E-8</v>
      </c>
      <c r="X248" s="1" t="s">
        <v>234</v>
      </c>
      <c r="Y248" s="3">
        <f t="shared" si="22"/>
        <v>10.520879637606859</v>
      </c>
      <c r="AA248">
        <v>3.66</v>
      </c>
      <c r="AD248" t="s">
        <v>223</v>
      </c>
    </row>
    <row r="249" spans="1:30" x14ac:dyDescent="0.35">
      <c r="A249" t="s">
        <v>224</v>
      </c>
      <c r="B249" t="s">
        <v>225</v>
      </c>
      <c r="C249" t="s">
        <v>130</v>
      </c>
      <c r="D249" t="s">
        <v>131</v>
      </c>
      <c r="E249" t="s">
        <v>133</v>
      </c>
      <c r="F249" t="s">
        <v>134</v>
      </c>
      <c r="G249" t="s">
        <v>134</v>
      </c>
      <c r="H249" t="s">
        <v>134</v>
      </c>
      <c r="I249" t="s">
        <v>134</v>
      </c>
      <c r="J249">
        <f>[25]Nobel_etal_1993_Fig4b!C10</f>
        <v>14</v>
      </c>
      <c r="K249" t="s">
        <v>406</v>
      </c>
      <c r="L249" t="s">
        <v>406</v>
      </c>
      <c r="M249" t="s">
        <v>406</v>
      </c>
      <c r="R249" t="s">
        <v>279</v>
      </c>
      <c r="S249" t="s">
        <v>128</v>
      </c>
      <c r="T249" t="s">
        <v>215</v>
      </c>
      <c r="U249" t="s">
        <v>281</v>
      </c>
      <c r="V249" s="1">
        <f>[25]Nobel_etal_1993_Fig4b!D10</f>
        <v>1.7064220183486301E-12</v>
      </c>
      <c r="W249" s="1">
        <f t="shared" si="21"/>
        <v>1.621938542333503E-7</v>
      </c>
      <c r="X249" s="1" t="s">
        <v>234</v>
      </c>
      <c r="Y249" s="3">
        <f t="shared" si="22"/>
        <v>10.520879637606859</v>
      </c>
      <c r="AA249">
        <v>3.66</v>
      </c>
      <c r="AD249" t="s">
        <v>223</v>
      </c>
    </row>
    <row r="250" spans="1:30" x14ac:dyDescent="0.35">
      <c r="A250" t="s">
        <v>224</v>
      </c>
      <c r="B250" t="s">
        <v>225</v>
      </c>
      <c r="C250" t="s">
        <v>130</v>
      </c>
      <c r="D250" t="s">
        <v>131</v>
      </c>
      <c r="E250" t="s">
        <v>133</v>
      </c>
      <c r="F250" t="s">
        <v>134</v>
      </c>
      <c r="G250" t="s">
        <v>134</v>
      </c>
      <c r="H250" t="s">
        <v>134</v>
      </c>
      <c r="I250" t="s">
        <v>134</v>
      </c>
      <c r="J250">
        <f>[25]Nobel_etal_1993_Fig4b!C11</f>
        <v>28</v>
      </c>
      <c r="K250" t="s">
        <v>406</v>
      </c>
      <c r="L250" t="s">
        <v>406</v>
      </c>
      <c r="M250" t="s">
        <v>406</v>
      </c>
      <c r="R250" t="s">
        <v>279</v>
      </c>
      <c r="S250" t="s">
        <v>128</v>
      </c>
      <c r="T250" t="s">
        <v>214</v>
      </c>
      <c r="U250" t="s">
        <v>281</v>
      </c>
      <c r="V250" s="1">
        <f>[25]Nobel_etal_1993_Fig4b!D11</f>
        <v>2.1834862385321201E-12</v>
      </c>
      <c r="W250" s="1">
        <f t="shared" si="21"/>
        <v>2.0753837262116885E-7</v>
      </c>
      <c r="X250" s="1" t="s">
        <v>234</v>
      </c>
      <c r="Y250" s="3">
        <f t="shared" si="22"/>
        <v>10.520879637606859</v>
      </c>
      <c r="AA250">
        <v>3.66</v>
      </c>
      <c r="AD250" t="s">
        <v>223</v>
      </c>
    </row>
    <row r="251" spans="1:30" x14ac:dyDescent="0.35">
      <c r="A251" t="s">
        <v>224</v>
      </c>
      <c r="B251" t="s">
        <v>225</v>
      </c>
      <c r="C251" t="s">
        <v>130</v>
      </c>
      <c r="D251" t="s">
        <v>131</v>
      </c>
      <c r="E251" t="s">
        <v>133</v>
      </c>
      <c r="F251" t="s">
        <v>134</v>
      </c>
      <c r="G251" t="s">
        <v>134</v>
      </c>
      <c r="H251" t="s">
        <v>134</v>
      </c>
      <c r="I251" t="s">
        <v>134</v>
      </c>
      <c r="J251">
        <f>[25]Nobel_etal_1993_Fig4b!C12</f>
        <v>42</v>
      </c>
      <c r="K251" t="s">
        <v>406</v>
      </c>
      <c r="L251" t="s">
        <v>406</v>
      </c>
      <c r="M251" t="s">
        <v>406</v>
      </c>
      <c r="R251" t="s">
        <v>279</v>
      </c>
      <c r="S251" t="s">
        <v>128</v>
      </c>
      <c r="T251" t="s">
        <v>214</v>
      </c>
      <c r="U251" t="s">
        <v>281</v>
      </c>
      <c r="V251" s="1">
        <f>[25]Nobel_etal_1993_Fig4b!D12</f>
        <v>2.2201834862385398E-12</v>
      </c>
      <c r="W251" s="1">
        <f t="shared" si="21"/>
        <v>2.1102641249715464E-7</v>
      </c>
      <c r="X251" s="1" t="s">
        <v>234</v>
      </c>
      <c r="Y251" s="3">
        <f t="shared" si="22"/>
        <v>10.520879637606859</v>
      </c>
      <c r="AA251">
        <v>3.66</v>
      </c>
      <c r="AD251" t="s">
        <v>223</v>
      </c>
    </row>
    <row r="252" spans="1:30" x14ac:dyDescent="0.35">
      <c r="A252" t="s">
        <v>224</v>
      </c>
      <c r="B252" t="s">
        <v>225</v>
      </c>
      <c r="C252" t="s">
        <v>130</v>
      </c>
      <c r="D252" t="s">
        <v>131</v>
      </c>
      <c r="E252" t="s">
        <v>133</v>
      </c>
      <c r="F252" t="s">
        <v>134</v>
      </c>
      <c r="G252" t="s">
        <v>134</v>
      </c>
      <c r="H252" t="s">
        <v>134</v>
      </c>
      <c r="I252" t="s">
        <v>134</v>
      </c>
      <c r="J252">
        <f>[25]Nobel_etal_1993_Fig4b!C13</f>
        <v>56</v>
      </c>
      <c r="K252" t="s">
        <v>406</v>
      </c>
      <c r="L252" t="s">
        <v>406</v>
      </c>
      <c r="M252" t="s">
        <v>406</v>
      </c>
      <c r="R252" t="s">
        <v>279</v>
      </c>
      <c r="S252" t="s">
        <v>128</v>
      </c>
      <c r="T252" t="s">
        <v>214</v>
      </c>
      <c r="U252" t="s">
        <v>281</v>
      </c>
      <c r="V252" s="1">
        <f>[25]Nobel_etal_1993_Fig4b!D13</f>
        <v>2.62385321100918E-12</v>
      </c>
      <c r="W252" s="1">
        <f t="shared" si="21"/>
        <v>2.4939485113300064E-7</v>
      </c>
      <c r="X252" s="1" t="s">
        <v>234</v>
      </c>
      <c r="Y252" s="3">
        <f t="shared" si="22"/>
        <v>10.520879637606859</v>
      </c>
      <c r="AA252">
        <v>3.66</v>
      </c>
      <c r="AD252" t="s">
        <v>223</v>
      </c>
    </row>
    <row r="253" spans="1:30" x14ac:dyDescent="0.35">
      <c r="A253" t="s">
        <v>224</v>
      </c>
      <c r="B253" t="s">
        <v>225</v>
      </c>
      <c r="C253" t="s">
        <v>130</v>
      </c>
      <c r="D253" t="s">
        <v>131</v>
      </c>
      <c r="E253" t="s">
        <v>133</v>
      </c>
      <c r="F253" t="s">
        <v>134</v>
      </c>
      <c r="G253" t="s">
        <v>134</v>
      </c>
      <c r="H253" t="s">
        <v>134</v>
      </c>
      <c r="I253" t="s">
        <v>134</v>
      </c>
      <c r="J253">
        <f>[25]Nobel_etal_1993_Fig4b!C14</f>
        <v>84</v>
      </c>
      <c r="K253" t="s">
        <v>406</v>
      </c>
      <c r="L253" t="s">
        <v>406</v>
      </c>
      <c r="M253" t="s">
        <v>406</v>
      </c>
      <c r="R253" t="s">
        <v>279</v>
      </c>
      <c r="S253" t="s">
        <v>128</v>
      </c>
      <c r="T253" t="s">
        <v>216</v>
      </c>
      <c r="U253" t="s">
        <v>281</v>
      </c>
      <c r="V253" s="1">
        <f>[25]Nobel_etal_1993_Fig4b!D14</f>
        <v>2.9541284403669801E-12</v>
      </c>
      <c r="W253" s="1">
        <f t="shared" si="21"/>
        <v>2.8078721001687497E-7</v>
      </c>
      <c r="X253" s="1" t="s">
        <v>234</v>
      </c>
      <c r="Y253" s="3">
        <f t="shared" si="22"/>
        <v>10.520879637606859</v>
      </c>
      <c r="AA253">
        <v>3.66</v>
      </c>
      <c r="AD253" t="s">
        <v>223</v>
      </c>
    </row>
    <row r="254" spans="1:30" x14ac:dyDescent="0.35">
      <c r="A254" t="s">
        <v>224</v>
      </c>
      <c r="B254" t="s">
        <v>225</v>
      </c>
      <c r="C254" t="s">
        <v>130</v>
      </c>
      <c r="D254" t="s">
        <v>131</v>
      </c>
      <c r="E254" t="s">
        <v>133</v>
      </c>
      <c r="F254" t="s">
        <v>134</v>
      </c>
      <c r="G254" t="s">
        <v>134</v>
      </c>
      <c r="H254" t="s">
        <v>134</v>
      </c>
      <c r="I254" t="s">
        <v>134</v>
      </c>
      <c r="J254">
        <f>[25]Nobel_etal_1993_Fig4b!C15</f>
        <v>112</v>
      </c>
      <c r="K254" t="s">
        <v>406</v>
      </c>
      <c r="L254" t="s">
        <v>406</v>
      </c>
      <c r="M254" t="s">
        <v>406</v>
      </c>
      <c r="R254" t="s">
        <v>279</v>
      </c>
      <c r="S254" t="s">
        <v>128</v>
      </c>
      <c r="T254" t="s">
        <v>216</v>
      </c>
      <c r="U254" t="s">
        <v>281</v>
      </c>
      <c r="V254" s="1">
        <f>[25]Nobel_etal_1993_Fig4b!D15</f>
        <v>3.5963302752293601E-12</v>
      </c>
      <c r="W254" s="1">
        <f t="shared" si="21"/>
        <v>3.4182790784662972E-7</v>
      </c>
      <c r="X254" s="1" t="s">
        <v>234</v>
      </c>
      <c r="Y254" s="3">
        <f t="shared" si="22"/>
        <v>10.520879637606859</v>
      </c>
      <c r="AA254">
        <v>3.66</v>
      </c>
      <c r="AD254" t="s">
        <v>223</v>
      </c>
    </row>
    <row r="255" spans="1:30" x14ac:dyDescent="0.35">
      <c r="A255" t="s">
        <v>227</v>
      </c>
      <c r="B255" t="s">
        <v>228</v>
      </c>
      <c r="C255" t="s">
        <v>230</v>
      </c>
      <c r="D255" t="s">
        <v>229</v>
      </c>
      <c r="E255" t="s">
        <v>19</v>
      </c>
      <c r="F255" t="s">
        <v>375</v>
      </c>
      <c r="G255" t="s">
        <v>375</v>
      </c>
      <c r="H255" t="s">
        <v>408</v>
      </c>
      <c r="I255" t="s">
        <v>411</v>
      </c>
      <c r="J255">
        <f>3+AVERAGE(6,22)</f>
        <v>17</v>
      </c>
      <c r="K255" t="s">
        <v>406</v>
      </c>
      <c r="L255" t="s">
        <v>406</v>
      </c>
      <c r="M255" t="s">
        <v>406</v>
      </c>
      <c r="R255" t="s">
        <v>279</v>
      </c>
      <c r="S255" t="s">
        <v>128</v>
      </c>
      <c r="T255" t="s">
        <v>215</v>
      </c>
      <c r="U255" t="s">
        <v>281</v>
      </c>
      <c r="V255" s="1">
        <f>'[26]Melchior&amp;Steudle_1993_Fig3d'!$C$7</f>
        <v>3.54749356219553E-11</v>
      </c>
      <c r="X255" t="s">
        <v>234</v>
      </c>
      <c r="AD255" t="s">
        <v>213</v>
      </c>
    </row>
    <row r="256" spans="1:30" x14ac:dyDescent="0.35">
      <c r="A256" t="s">
        <v>227</v>
      </c>
      <c r="B256" t="s">
        <v>228</v>
      </c>
      <c r="C256" t="s">
        <v>230</v>
      </c>
      <c r="D256" t="s">
        <v>229</v>
      </c>
      <c r="E256" t="s">
        <v>19</v>
      </c>
      <c r="F256" t="s">
        <v>375</v>
      </c>
      <c r="G256" t="s">
        <v>375</v>
      </c>
      <c r="H256" t="s">
        <v>408</v>
      </c>
      <c r="I256" t="s">
        <v>411</v>
      </c>
      <c r="J256">
        <f t="shared" ref="J256:J257" si="23">3+AVERAGE(6,22)</f>
        <v>17</v>
      </c>
      <c r="K256" t="s">
        <v>406</v>
      </c>
      <c r="L256" t="s">
        <v>406</v>
      </c>
      <c r="M256" t="s">
        <v>406</v>
      </c>
      <c r="R256" t="s">
        <v>279</v>
      </c>
      <c r="S256" t="s">
        <v>128</v>
      </c>
      <c r="T256" t="s">
        <v>214</v>
      </c>
      <c r="U256" t="s">
        <v>281</v>
      </c>
      <c r="V256" s="1">
        <f>'[26]Melchior&amp;Steudle_1993_Fig3d'!$C$20</f>
        <v>4.2275317896117102E-10</v>
      </c>
      <c r="X256" t="s">
        <v>234</v>
      </c>
      <c r="AD256" t="s">
        <v>213</v>
      </c>
    </row>
    <row r="257" spans="1:30" x14ac:dyDescent="0.35">
      <c r="A257" t="s">
        <v>227</v>
      </c>
      <c r="B257" t="s">
        <v>228</v>
      </c>
      <c r="C257" t="s">
        <v>230</v>
      </c>
      <c r="D257" t="s">
        <v>229</v>
      </c>
      <c r="E257" t="s">
        <v>19</v>
      </c>
      <c r="F257" t="s">
        <v>375</v>
      </c>
      <c r="G257" t="s">
        <v>375</v>
      </c>
      <c r="H257" t="s">
        <v>408</v>
      </c>
      <c r="I257" t="s">
        <v>411</v>
      </c>
      <c r="J257">
        <f t="shared" si="23"/>
        <v>17</v>
      </c>
      <c r="K257" t="s">
        <v>406</v>
      </c>
      <c r="L257" t="s">
        <v>406</v>
      </c>
      <c r="M257" t="s">
        <v>406</v>
      </c>
      <c r="R257" t="s">
        <v>279</v>
      </c>
      <c r="S257" t="s">
        <v>128</v>
      </c>
      <c r="T257" t="s">
        <v>216</v>
      </c>
      <c r="U257" t="s">
        <v>281</v>
      </c>
      <c r="V257" s="1">
        <f>'[26]Melchior&amp;Steudle_1993_Fig3d'!$C$32</f>
        <v>9.7255784720550693E-10</v>
      </c>
      <c r="X257" t="s">
        <v>234</v>
      </c>
      <c r="AD257" t="s">
        <v>213</v>
      </c>
    </row>
    <row r="258" spans="1:30" x14ac:dyDescent="0.35">
      <c r="A258" t="s">
        <v>231</v>
      </c>
      <c r="B258" t="s">
        <v>132</v>
      </c>
      <c r="C258" t="s">
        <v>130</v>
      </c>
      <c r="D258" t="s">
        <v>131</v>
      </c>
      <c r="E258" t="s">
        <v>133</v>
      </c>
      <c r="F258" t="s">
        <v>134</v>
      </c>
      <c r="G258" t="s">
        <v>134</v>
      </c>
      <c r="H258" t="s">
        <v>134</v>
      </c>
      <c r="I258" t="s">
        <v>134</v>
      </c>
      <c r="J258">
        <v>48</v>
      </c>
      <c r="K258" t="s">
        <v>13</v>
      </c>
      <c r="L258" t="s">
        <v>7</v>
      </c>
      <c r="M258" t="s">
        <v>7</v>
      </c>
      <c r="R258" t="s">
        <v>279</v>
      </c>
      <c r="S258" t="s">
        <v>220</v>
      </c>
      <c r="T258" t="s">
        <v>215</v>
      </c>
      <c r="U258" t="s">
        <v>281</v>
      </c>
      <c r="V258" s="1">
        <f>'[27]Huang&amp;Nobel_1992_Fig3'!$C$2</f>
        <v>4.5778846520859598E-13</v>
      </c>
      <c r="W258" s="1">
        <f t="shared" ref="W258:W263" si="24">+V258/Y258*1000000</f>
        <v>4.8171436117950543E-7</v>
      </c>
      <c r="X258" s="1" t="s">
        <v>234</v>
      </c>
      <c r="Y258" s="3">
        <f t="shared" ref="Y258:Y263" si="25">+(AA258/2)^2*PI()</f>
        <v>0.9503317777109126</v>
      </c>
      <c r="AA258">
        <v>1.1000000000000001</v>
      </c>
      <c r="AD258" t="s">
        <v>223</v>
      </c>
    </row>
    <row r="259" spans="1:30" x14ac:dyDescent="0.35">
      <c r="A259" t="s">
        <v>231</v>
      </c>
      <c r="B259" t="s">
        <v>132</v>
      </c>
      <c r="C259" t="s">
        <v>130</v>
      </c>
      <c r="D259" t="s">
        <v>131</v>
      </c>
      <c r="E259" t="s">
        <v>133</v>
      </c>
      <c r="F259" t="s">
        <v>134</v>
      </c>
      <c r="G259" t="s">
        <v>134</v>
      </c>
      <c r="H259" t="s">
        <v>134</v>
      </c>
      <c r="I259" t="s">
        <v>134</v>
      </c>
      <c r="J259">
        <v>48</v>
      </c>
      <c r="K259" t="s">
        <v>13</v>
      </c>
      <c r="L259" t="s">
        <v>7</v>
      </c>
      <c r="M259" t="s">
        <v>7</v>
      </c>
      <c r="R259" t="s">
        <v>279</v>
      </c>
      <c r="S259" t="s">
        <v>220</v>
      </c>
      <c r="T259" t="s">
        <v>214</v>
      </c>
      <c r="U259" t="s">
        <v>281</v>
      </c>
      <c r="V259" s="1">
        <f>'[27]Huang&amp;Nobel_1992_Fig3'!$C$5</f>
        <v>9.2769444126366007E-13</v>
      </c>
      <c r="W259" s="1">
        <f t="shared" si="24"/>
        <v>9.7617954384122599E-7</v>
      </c>
      <c r="X259" s="1" t="s">
        <v>234</v>
      </c>
      <c r="Y259" s="3">
        <f t="shared" si="25"/>
        <v>0.9503317777109126</v>
      </c>
      <c r="AA259">
        <v>1.1000000000000001</v>
      </c>
      <c r="AD259" t="s">
        <v>223</v>
      </c>
    </row>
    <row r="260" spans="1:30" x14ac:dyDescent="0.35">
      <c r="A260" t="s">
        <v>231</v>
      </c>
      <c r="B260" t="s">
        <v>132</v>
      </c>
      <c r="C260" t="s">
        <v>130</v>
      </c>
      <c r="D260" t="s">
        <v>131</v>
      </c>
      <c r="E260" t="s">
        <v>133</v>
      </c>
      <c r="F260" t="s">
        <v>134</v>
      </c>
      <c r="G260" t="s">
        <v>134</v>
      </c>
      <c r="H260" t="s">
        <v>134</v>
      </c>
      <c r="I260" t="s">
        <v>134</v>
      </c>
      <c r="J260">
        <v>48</v>
      </c>
      <c r="K260" t="s">
        <v>13</v>
      </c>
      <c r="L260" t="s">
        <v>7</v>
      </c>
      <c r="M260" t="s">
        <v>7</v>
      </c>
      <c r="R260" t="s">
        <v>279</v>
      </c>
      <c r="S260" t="s">
        <v>220</v>
      </c>
      <c r="T260" t="s">
        <v>216</v>
      </c>
      <c r="U260" t="s">
        <v>281</v>
      </c>
      <c r="V260" s="1">
        <f>'[27]Huang&amp;Nobel_1992_Fig3'!$C$6</f>
        <v>1.57705255925798E-12</v>
      </c>
      <c r="W260" s="1">
        <f t="shared" si="24"/>
        <v>1.6594757707215316E-6</v>
      </c>
      <c r="X260" s="1" t="s">
        <v>234</v>
      </c>
      <c r="Y260" s="3">
        <f t="shared" si="25"/>
        <v>0.9503317777109126</v>
      </c>
      <c r="AA260">
        <v>1.1000000000000001</v>
      </c>
      <c r="AD260" t="s">
        <v>223</v>
      </c>
    </row>
    <row r="261" spans="1:30" x14ac:dyDescent="0.35">
      <c r="A261" t="s">
        <v>231</v>
      </c>
      <c r="B261" t="s">
        <v>132</v>
      </c>
      <c r="C261" t="s">
        <v>130</v>
      </c>
      <c r="D261" t="s">
        <v>131</v>
      </c>
      <c r="E261" t="s">
        <v>133</v>
      </c>
      <c r="F261" t="s">
        <v>134</v>
      </c>
      <c r="G261" t="s">
        <v>134</v>
      </c>
      <c r="H261" t="s">
        <v>134</v>
      </c>
      <c r="I261" t="s">
        <v>134</v>
      </c>
      <c r="J261">
        <f>30+18</f>
        <v>48</v>
      </c>
      <c r="K261" t="s">
        <v>13</v>
      </c>
      <c r="L261" t="s">
        <v>13</v>
      </c>
      <c r="M261" t="s">
        <v>399</v>
      </c>
      <c r="R261" t="s">
        <v>279</v>
      </c>
      <c r="S261" t="s">
        <v>220</v>
      </c>
      <c r="T261" t="s">
        <v>215</v>
      </c>
      <c r="U261" t="s">
        <v>281</v>
      </c>
      <c r="V261" s="1">
        <f>'[28]Huang&amp;Nobel_1992_Fig6'!$C$3</f>
        <v>9.4675537331095041E-14</v>
      </c>
      <c r="W261" s="1">
        <f t="shared" si="24"/>
        <v>9.9623667809091181E-8</v>
      </c>
      <c r="X261" s="1" t="s">
        <v>234</v>
      </c>
      <c r="Y261" s="3">
        <f t="shared" si="25"/>
        <v>0.9503317777109126</v>
      </c>
      <c r="AA261">
        <v>1.1000000000000001</v>
      </c>
      <c r="AD261" t="s">
        <v>223</v>
      </c>
    </row>
    <row r="262" spans="1:30" x14ac:dyDescent="0.35">
      <c r="A262" t="s">
        <v>231</v>
      </c>
      <c r="B262" t="s">
        <v>132</v>
      </c>
      <c r="C262" t="s">
        <v>130</v>
      </c>
      <c r="D262" t="s">
        <v>131</v>
      </c>
      <c r="E262" t="s">
        <v>133</v>
      </c>
      <c r="F262" t="s">
        <v>134</v>
      </c>
      <c r="G262" t="s">
        <v>134</v>
      </c>
      <c r="H262" t="s">
        <v>134</v>
      </c>
      <c r="I262" t="s">
        <v>134</v>
      </c>
      <c r="J262">
        <f t="shared" ref="J262:J263" si="26">30+18</f>
        <v>48</v>
      </c>
      <c r="K262" t="s">
        <v>13</v>
      </c>
      <c r="L262" t="s">
        <v>13</v>
      </c>
      <c r="M262" t="s">
        <v>399</v>
      </c>
      <c r="R262" t="s">
        <v>279</v>
      </c>
      <c r="S262" t="s">
        <v>220</v>
      </c>
      <c r="T262" t="s">
        <v>214</v>
      </c>
      <c r="U262" t="s">
        <v>281</v>
      </c>
      <c r="V262" s="1">
        <f>'[28]Huang&amp;Nobel_1992_Fig6'!$C$5</f>
        <v>3.2226380823953503E-13</v>
      </c>
      <c r="W262" s="1">
        <f t="shared" si="24"/>
        <v>3.3910663180787216E-7</v>
      </c>
      <c r="X262" s="1" t="s">
        <v>234</v>
      </c>
      <c r="Y262" s="3">
        <f t="shared" si="25"/>
        <v>0.9503317777109126</v>
      </c>
      <c r="AA262">
        <v>1.1000000000000001</v>
      </c>
      <c r="AD262" t="s">
        <v>223</v>
      </c>
    </row>
    <row r="263" spans="1:30" x14ac:dyDescent="0.35">
      <c r="A263" t="s">
        <v>231</v>
      </c>
      <c r="B263" t="s">
        <v>132</v>
      </c>
      <c r="C263" t="s">
        <v>130</v>
      </c>
      <c r="D263" t="s">
        <v>131</v>
      </c>
      <c r="E263" t="s">
        <v>133</v>
      </c>
      <c r="F263" t="s">
        <v>134</v>
      </c>
      <c r="G263" t="s">
        <v>134</v>
      </c>
      <c r="H263" t="s">
        <v>134</v>
      </c>
      <c r="I263" t="s">
        <v>134</v>
      </c>
      <c r="J263">
        <f t="shared" si="26"/>
        <v>48</v>
      </c>
      <c r="K263" t="s">
        <v>13</v>
      </c>
      <c r="L263" t="s">
        <v>13</v>
      </c>
      <c r="M263" t="s">
        <v>399</v>
      </c>
      <c r="R263" t="s">
        <v>279</v>
      </c>
      <c r="S263" t="s">
        <v>220</v>
      </c>
      <c r="T263" t="s">
        <v>216</v>
      </c>
      <c r="U263" t="s">
        <v>281</v>
      </c>
      <c r="V263" s="1">
        <f>'[28]Huang&amp;Nobel_1992_Fig6'!$C$7</f>
        <v>4.2358821586812304E-13</v>
      </c>
      <c r="W263" s="1">
        <f t="shared" si="24"/>
        <v>4.4572666704719725E-7</v>
      </c>
      <c r="X263" s="1" t="s">
        <v>234</v>
      </c>
      <c r="Y263" s="3">
        <f t="shared" si="25"/>
        <v>0.9503317777109126</v>
      </c>
      <c r="AA263">
        <v>1.1000000000000001</v>
      </c>
      <c r="AD263" t="s">
        <v>223</v>
      </c>
    </row>
    <row r="264" spans="1:30" x14ac:dyDescent="0.35">
      <c r="A264" t="s">
        <v>193</v>
      </c>
      <c r="B264" t="s">
        <v>189</v>
      </c>
      <c r="C264" t="s">
        <v>190</v>
      </c>
      <c r="D264" t="s">
        <v>81</v>
      </c>
      <c r="E264" t="s">
        <v>191</v>
      </c>
      <c r="F264" t="s">
        <v>192</v>
      </c>
      <c r="G264" t="s">
        <v>192</v>
      </c>
      <c r="H264" t="s">
        <v>192</v>
      </c>
      <c r="I264" t="s">
        <v>378</v>
      </c>
      <c r="J264">
        <v>33</v>
      </c>
      <c r="K264" t="s">
        <v>13</v>
      </c>
      <c r="L264" t="s">
        <v>7</v>
      </c>
      <c r="M264" t="s">
        <v>7</v>
      </c>
      <c r="R264" t="s">
        <v>279</v>
      </c>
      <c r="S264" t="s">
        <v>256</v>
      </c>
      <c r="T264" t="s">
        <v>216</v>
      </c>
      <c r="U264" t="s">
        <v>281</v>
      </c>
      <c r="V264" s="1">
        <f>[29]Cruz_eatl_1992_Fig3!$F$9</f>
        <v>1.1369609692102904E-10</v>
      </c>
      <c r="W264" s="1">
        <f t="shared" ref="W264" si="27">+V264/Y264*1000000</f>
        <v>5.7904946672758376E-4</v>
      </c>
      <c r="X264" s="1" t="s">
        <v>234</v>
      </c>
      <c r="Y264" s="3">
        <f t="shared" ref="Y264" si="28">+(AA264/2)^2*PI()</f>
        <v>0.19634954084936207</v>
      </c>
      <c r="AA264">
        <v>0.5</v>
      </c>
      <c r="AD264" t="s">
        <v>247</v>
      </c>
    </row>
    <row r="265" spans="1:30" x14ac:dyDescent="0.35">
      <c r="A265" t="s">
        <v>193</v>
      </c>
      <c r="B265" t="s">
        <v>189</v>
      </c>
      <c r="C265" t="s">
        <v>190</v>
      </c>
      <c r="D265" t="s">
        <v>81</v>
      </c>
      <c r="E265" t="s">
        <v>191</v>
      </c>
      <c r="F265" t="s">
        <v>192</v>
      </c>
      <c r="G265" t="s">
        <v>192</v>
      </c>
      <c r="H265" t="s">
        <v>192</v>
      </c>
      <c r="I265" t="s">
        <v>378</v>
      </c>
      <c r="J265">
        <v>33</v>
      </c>
      <c r="K265" t="s">
        <v>13</v>
      </c>
      <c r="L265" t="s">
        <v>7</v>
      </c>
      <c r="M265" t="s">
        <v>7</v>
      </c>
      <c r="R265" t="s">
        <v>279</v>
      </c>
      <c r="S265" t="s">
        <v>256</v>
      </c>
      <c r="T265" t="s">
        <v>214</v>
      </c>
      <c r="U265" t="s">
        <v>281</v>
      </c>
      <c r="V265" s="1">
        <f>[29]Cruz_eatl_1992_Fig3!$F$12</f>
        <v>9.0406703945000242E-11</v>
      </c>
      <c r="W265" s="1"/>
      <c r="X265" s="1"/>
      <c r="AD265" t="s">
        <v>247</v>
      </c>
    </row>
    <row r="266" spans="1:30" x14ac:dyDescent="0.35">
      <c r="A266" t="s">
        <v>193</v>
      </c>
      <c r="B266" t="s">
        <v>189</v>
      </c>
      <c r="C266" t="s">
        <v>190</v>
      </c>
      <c r="D266" t="s">
        <v>81</v>
      </c>
      <c r="E266" t="s">
        <v>191</v>
      </c>
      <c r="F266" t="s">
        <v>192</v>
      </c>
      <c r="G266" t="s">
        <v>192</v>
      </c>
      <c r="H266" t="s">
        <v>192</v>
      </c>
      <c r="I266" t="s">
        <v>378</v>
      </c>
      <c r="J266">
        <v>33</v>
      </c>
      <c r="K266" t="s">
        <v>13</v>
      </c>
      <c r="L266" t="s">
        <v>7</v>
      </c>
      <c r="M266" t="s">
        <v>7</v>
      </c>
      <c r="R266" t="s">
        <v>279</v>
      </c>
      <c r="S266" t="s">
        <v>256</v>
      </c>
      <c r="T266" t="s">
        <v>215</v>
      </c>
      <c r="U266" t="s">
        <v>281</v>
      </c>
      <c r="V266" s="1">
        <f>[29]Cruz_eatl_1992_Fig3!$F$14</f>
        <v>6.8485324626116092E-11</v>
      </c>
      <c r="W266" s="1"/>
      <c r="X266" s="1"/>
      <c r="AD266" t="s">
        <v>247</v>
      </c>
    </row>
    <row r="267" spans="1:30" x14ac:dyDescent="0.35">
      <c r="A267" t="s">
        <v>193</v>
      </c>
      <c r="B267" t="s">
        <v>189</v>
      </c>
      <c r="C267" t="s">
        <v>190</v>
      </c>
      <c r="D267" t="s">
        <v>81</v>
      </c>
      <c r="E267" t="s">
        <v>191</v>
      </c>
      <c r="F267" t="s">
        <v>192</v>
      </c>
      <c r="G267" t="s">
        <v>192</v>
      </c>
      <c r="H267" t="s">
        <v>192</v>
      </c>
      <c r="I267" t="s">
        <v>378</v>
      </c>
      <c r="J267">
        <v>33</v>
      </c>
      <c r="K267" t="s">
        <v>13</v>
      </c>
      <c r="L267" t="s">
        <v>13</v>
      </c>
      <c r="M267" t="s">
        <v>399</v>
      </c>
      <c r="R267" t="s">
        <v>279</v>
      </c>
      <c r="S267" t="s">
        <v>256</v>
      </c>
      <c r="T267" t="s">
        <v>215</v>
      </c>
      <c r="U267" t="s">
        <v>281</v>
      </c>
      <c r="V267" s="1">
        <f>[29]Cruz_eatl_1992_Fig3!$M$5</f>
        <v>6.4591367036883067E-12</v>
      </c>
      <c r="W267" s="1"/>
      <c r="X267" s="1"/>
      <c r="AD267" t="s">
        <v>247</v>
      </c>
    </row>
    <row r="268" spans="1:30" x14ac:dyDescent="0.35">
      <c r="A268" t="s">
        <v>193</v>
      </c>
      <c r="B268" t="s">
        <v>189</v>
      </c>
      <c r="C268" t="s">
        <v>190</v>
      </c>
      <c r="D268" t="s">
        <v>81</v>
      </c>
      <c r="E268" t="s">
        <v>191</v>
      </c>
      <c r="F268" t="s">
        <v>192</v>
      </c>
      <c r="G268" t="s">
        <v>192</v>
      </c>
      <c r="H268" t="s">
        <v>192</v>
      </c>
      <c r="I268" t="s">
        <v>378</v>
      </c>
      <c r="J268">
        <v>33</v>
      </c>
      <c r="K268" t="s">
        <v>13</v>
      </c>
      <c r="L268" t="s">
        <v>13</v>
      </c>
      <c r="M268" t="s">
        <v>399</v>
      </c>
      <c r="R268" t="s">
        <v>279</v>
      </c>
      <c r="S268" t="s">
        <v>256</v>
      </c>
      <c r="T268" t="s">
        <v>216</v>
      </c>
      <c r="U268" t="s">
        <v>281</v>
      </c>
      <c r="V268" s="1">
        <f>[29]Cruz_eatl_1992_Fig3!$M$8</f>
        <v>2.5669778717520366E-12</v>
      </c>
      <c r="W268" s="1"/>
      <c r="X268" s="1"/>
      <c r="AD268" t="s">
        <v>247</v>
      </c>
    </row>
    <row r="269" spans="1:30" x14ac:dyDescent="0.35">
      <c r="A269" t="s">
        <v>381</v>
      </c>
      <c r="B269" t="s">
        <v>132</v>
      </c>
      <c r="C269" t="s">
        <v>130</v>
      </c>
      <c r="D269" t="s">
        <v>131</v>
      </c>
      <c r="E269" t="s">
        <v>133</v>
      </c>
      <c r="F269" t="s">
        <v>134</v>
      </c>
      <c r="G269" t="s">
        <v>134</v>
      </c>
      <c r="H269" t="s">
        <v>134</v>
      </c>
      <c r="I269" t="s">
        <v>134</v>
      </c>
      <c r="K269" t="s">
        <v>391</v>
      </c>
      <c r="L269" t="s">
        <v>382</v>
      </c>
      <c r="M269" t="s">
        <v>398</v>
      </c>
      <c r="R269" t="s">
        <v>279</v>
      </c>
      <c r="S269" t="s">
        <v>128</v>
      </c>
      <c r="T269" t="s">
        <v>258</v>
      </c>
      <c r="U269" t="s">
        <v>281</v>
      </c>
      <c r="V269" s="1">
        <f>+AVERAGE(0.77,1)*0.0000000001</f>
        <v>8.8500000000000005E-11</v>
      </c>
      <c r="W269" s="1">
        <f t="shared" ref="W269:W274" si="29">+V269/Y269*1000000</f>
        <v>1.4372665779217082E-5</v>
      </c>
      <c r="X269" s="1" t="s">
        <v>234</v>
      </c>
      <c r="Y269" s="3">
        <f t="shared" ref="Y269:Y274" si="30">+(AA269/2)^2*PI()</f>
        <v>6.1575216010359934</v>
      </c>
      <c r="AA269" s="2">
        <f>1.4*2</f>
        <v>2.8</v>
      </c>
      <c r="AB269" s="2"/>
      <c r="AD269" t="s">
        <v>247</v>
      </c>
    </row>
    <row r="270" spans="1:30" x14ac:dyDescent="0.35">
      <c r="A270" t="s">
        <v>381</v>
      </c>
      <c r="B270" t="s">
        <v>132</v>
      </c>
      <c r="C270" t="s">
        <v>130</v>
      </c>
      <c r="D270" t="s">
        <v>131</v>
      </c>
      <c r="E270" t="s">
        <v>133</v>
      </c>
      <c r="F270" t="s">
        <v>134</v>
      </c>
      <c r="G270" t="s">
        <v>134</v>
      </c>
      <c r="H270" t="s">
        <v>134</v>
      </c>
      <c r="I270" t="s">
        <v>134</v>
      </c>
      <c r="K270" t="s">
        <v>391</v>
      </c>
      <c r="L270" t="s">
        <v>383</v>
      </c>
      <c r="M270" t="s">
        <v>398</v>
      </c>
      <c r="R270" t="s">
        <v>279</v>
      </c>
      <c r="S270" t="s">
        <v>128</v>
      </c>
      <c r="T270" t="s">
        <v>258</v>
      </c>
      <c r="U270" t="s">
        <v>281</v>
      </c>
      <c r="V270" s="1">
        <f>+AVERAGE(0.54,2.11)*0.0000000001</f>
        <v>1.3250000000000001E-10</v>
      </c>
      <c r="W270" s="1">
        <f t="shared" si="29"/>
        <v>1.7110657600451242E-5</v>
      </c>
      <c r="X270" s="1" t="s">
        <v>234</v>
      </c>
      <c r="Y270" s="3">
        <f t="shared" si="30"/>
        <v>7.7437117318334812</v>
      </c>
      <c r="AA270" s="2">
        <f>1.57*2</f>
        <v>3.14</v>
      </c>
      <c r="AB270" s="2"/>
      <c r="AD270" t="s">
        <v>247</v>
      </c>
    </row>
    <row r="271" spans="1:30" x14ac:dyDescent="0.35">
      <c r="A271" t="s">
        <v>381</v>
      </c>
      <c r="B271" t="s">
        <v>132</v>
      </c>
      <c r="C271" t="s">
        <v>130</v>
      </c>
      <c r="D271" t="s">
        <v>131</v>
      </c>
      <c r="E271" t="s">
        <v>133</v>
      </c>
      <c r="F271" t="s">
        <v>134</v>
      </c>
      <c r="G271" t="s">
        <v>134</v>
      </c>
      <c r="H271" t="s">
        <v>134</v>
      </c>
      <c r="I271" t="s">
        <v>134</v>
      </c>
      <c r="K271" t="s">
        <v>391</v>
      </c>
      <c r="L271" t="s">
        <v>384</v>
      </c>
      <c r="M271" t="s">
        <v>398</v>
      </c>
      <c r="R271" t="s">
        <v>279</v>
      </c>
      <c r="S271" t="s">
        <v>128</v>
      </c>
      <c r="T271" t="s">
        <v>258</v>
      </c>
      <c r="U271" t="s">
        <v>281</v>
      </c>
      <c r="V271" s="1">
        <f>+AVERAGE(0.39,5.03)*0.0000000001</f>
        <v>2.7099999999999999E-10</v>
      </c>
      <c r="W271" s="1">
        <f t="shared" si="29"/>
        <v>8.6261979155807263E-5</v>
      </c>
      <c r="X271" s="1" t="s">
        <v>234</v>
      </c>
      <c r="Y271" s="3">
        <f t="shared" si="30"/>
        <v>3.1415926535897931</v>
      </c>
      <c r="AA271" s="2">
        <f>1*2</f>
        <v>2</v>
      </c>
      <c r="AB271" s="2"/>
      <c r="AD271" t="s">
        <v>247</v>
      </c>
    </row>
    <row r="272" spans="1:30" x14ac:dyDescent="0.35">
      <c r="A272" t="s">
        <v>381</v>
      </c>
      <c r="B272" t="s">
        <v>183</v>
      </c>
      <c r="C272" t="s">
        <v>177</v>
      </c>
      <c r="D272" t="s">
        <v>178</v>
      </c>
      <c r="E272" t="s">
        <v>133</v>
      </c>
      <c r="F272" t="s">
        <v>134</v>
      </c>
      <c r="G272" t="s">
        <v>134</v>
      </c>
      <c r="H272" t="s">
        <v>134</v>
      </c>
      <c r="I272" t="s">
        <v>134</v>
      </c>
      <c r="K272" t="s">
        <v>391</v>
      </c>
      <c r="L272" t="s">
        <v>382</v>
      </c>
      <c r="M272" t="s">
        <v>398</v>
      </c>
      <c r="R272" t="s">
        <v>279</v>
      </c>
      <c r="S272" t="s">
        <v>128</v>
      </c>
      <c r="T272" t="s">
        <v>258</v>
      </c>
      <c r="U272" t="s">
        <v>281</v>
      </c>
      <c r="V272" s="1">
        <f>+AVERAGE(2.6,5)*0.0000000001</f>
        <v>3.7999999999999998E-10</v>
      </c>
      <c r="W272" s="1">
        <f t="shared" si="29"/>
        <v>3.0475625283406509E-4</v>
      </c>
      <c r="X272" s="1" t="s">
        <v>234</v>
      </c>
      <c r="Y272" s="3">
        <f t="shared" si="30"/>
        <v>1.246898124209789</v>
      </c>
      <c r="AA272" s="2">
        <f>0.63*2</f>
        <v>1.26</v>
      </c>
      <c r="AB272" s="2"/>
      <c r="AD272" t="s">
        <v>247</v>
      </c>
    </row>
    <row r="273" spans="1:30" x14ac:dyDescent="0.35">
      <c r="A273" t="s">
        <v>381</v>
      </c>
      <c r="B273" t="s">
        <v>183</v>
      </c>
      <c r="C273" t="s">
        <v>177</v>
      </c>
      <c r="D273" t="s">
        <v>178</v>
      </c>
      <c r="E273" t="s">
        <v>133</v>
      </c>
      <c r="F273" t="s">
        <v>134</v>
      </c>
      <c r="G273" t="s">
        <v>134</v>
      </c>
      <c r="H273" t="s">
        <v>134</v>
      </c>
      <c r="I273" t="s">
        <v>134</v>
      </c>
      <c r="K273" t="s">
        <v>391</v>
      </c>
      <c r="L273" t="s">
        <v>383</v>
      </c>
      <c r="M273" t="s">
        <v>398</v>
      </c>
      <c r="R273" t="s">
        <v>279</v>
      </c>
      <c r="S273" t="s">
        <v>128</v>
      </c>
      <c r="T273" t="s">
        <v>258</v>
      </c>
      <c r="U273" t="s">
        <v>281</v>
      </c>
      <c r="V273" s="1">
        <f>+AVERAGE(0.55,4.38)*0.0000000001</f>
        <v>2.4649999999999998E-10</v>
      </c>
      <c r="W273" s="1">
        <f t="shared" si="29"/>
        <v>5.6351182809756112E-5</v>
      </c>
      <c r="X273" s="1" t="s">
        <v>234</v>
      </c>
      <c r="Y273" s="3">
        <f t="shared" si="30"/>
        <v>4.3743536108584271</v>
      </c>
      <c r="AA273" s="2">
        <f>1.18*2</f>
        <v>2.36</v>
      </c>
      <c r="AB273" s="2"/>
      <c r="AD273" t="s">
        <v>247</v>
      </c>
    </row>
    <row r="274" spans="1:30" x14ac:dyDescent="0.35">
      <c r="A274" t="s">
        <v>381</v>
      </c>
      <c r="B274" t="s">
        <v>183</v>
      </c>
      <c r="C274" t="s">
        <v>177</v>
      </c>
      <c r="D274" t="s">
        <v>178</v>
      </c>
      <c r="E274" t="s">
        <v>133</v>
      </c>
      <c r="F274" t="s">
        <v>134</v>
      </c>
      <c r="G274" t="s">
        <v>134</v>
      </c>
      <c r="H274" t="s">
        <v>134</v>
      </c>
      <c r="I274" t="s">
        <v>134</v>
      </c>
      <c r="K274" t="s">
        <v>391</v>
      </c>
      <c r="L274" t="s">
        <v>384</v>
      </c>
      <c r="M274" t="s">
        <v>398</v>
      </c>
      <c r="R274" t="s">
        <v>279</v>
      </c>
      <c r="S274" t="s">
        <v>128</v>
      </c>
      <c r="T274" t="s">
        <v>258</v>
      </c>
      <c r="U274" t="s">
        <v>281</v>
      </c>
      <c r="V274" s="1">
        <f>+AVERAGE(0.22,5.53)*0.0000000001</f>
        <v>2.8749999999999999E-10</v>
      </c>
      <c r="W274" s="1">
        <f t="shared" si="29"/>
        <v>7.0417122405232245E-5</v>
      </c>
      <c r="X274" s="1" t="s">
        <v>234</v>
      </c>
      <c r="Y274" s="3">
        <f t="shared" si="30"/>
        <v>4.0828138126052949</v>
      </c>
      <c r="AA274" s="2">
        <f>1.14*2</f>
        <v>2.2799999999999998</v>
      </c>
      <c r="AB274" s="2"/>
      <c r="AD274" t="s">
        <v>247</v>
      </c>
    </row>
    <row r="275" spans="1:30" x14ac:dyDescent="0.35">
      <c r="A275" t="s">
        <v>232</v>
      </c>
      <c r="B275" t="s">
        <v>132</v>
      </c>
      <c r="C275" t="s">
        <v>130</v>
      </c>
      <c r="D275" t="s">
        <v>131</v>
      </c>
      <c r="E275" t="s">
        <v>133</v>
      </c>
      <c r="F275" t="s">
        <v>134</v>
      </c>
      <c r="G275" t="s">
        <v>134</v>
      </c>
      <c r="H275" t="s">
        <v>134</v>
      </c>
      <c r="I275" t="s">
        <v>134</v>
      </c>
      <c r="J275">
        <f>+AVERAGE(4,6)*7+0</f>
        <v>35</v>
      </c>
      <c r="K275" t="s">
        <v>372</v>
      </c>
      <c r="L275" t="s">
        <v>7</v>
      </c>
      <c r="M275" t="s">
        <v>7</v>
      </c>
      <c r="N275" t="s">
        <v>370</v>
      </c>
      <c r="O275" t="s">
        <v>398</v>
      </c>
      <c r="R275" t="s">
        <v>279</v>
      </c>
      <c r="S275" t="s">
        <v>257</v>
      </c>
      <c r="T275" t="s">
        <v>258</v>
      </c>
      <c r="U275" t="s">
        <v>281</v>
      </c>
      <c r="V275" s="1">
        <v>1.8199999999999999E-12</v>
      </c>
      <c r="W275" s="1">
        <f t="shared" ref="W275:W285" si="31">+V275/Y275*1000000</f>
        <v>2.5747733015755512E-7</v>
      </c>
      <c r="X275" s="1" t="s">
        <v>234</v>
      </c>
      <c r="Y275" s="3">
        <f t="shared" ref="Y275:Y285" si="32">+(AA275/2)^2*PI()</f>
        <v>7.0685834705770345</v>
      </c>
      <c r="AA275">
        <v>3</v>
      </c>
      <c r="AD275" t="s">
        <v>247</v>
      </c>
    </row>
    <row r="276" spans="1:30" x14ac:dyDescent="0.35">
      <c r="A276" t="s">
        <v>232</v>
      </c>
      <c r="B276" t="s">
        <v>132</v>
      </c>
      <c r="C276" t="s">
        <v>130</v>
      </c>
      <c r="D276" t="s">
        <v>131</v>
      </c>
      <c r="E276" t="s">
        <v>133</v>
      </c>
      <c r="F276" t="s">
        <v>134</v>
      </c>
      <c r="G276" t="s">
        <v>134</v>
      </c>
      <c r="H276" t="s">
        <v>134</v>
      </c>
      <c r="I276" t="s">
        <v>134</v>
      </c>
      <c r="J276">
        <f>+AVERAGE(6,12)*30+0</f>
        <v>270</v>
      </c>
      <c r="K276" t="s">
        <v>372</v>
      </c>
      <c r="L276" t="s">
        <v>7</v>
      </c>
      <c r="M276" t="s">
        <v>7</v>
      </c>
      <c r="N276" t="s">
        <v>369</v>
      </c>
      <c r="O276" t="s">
        <v>398</v>
      </c>
      <c r="R276" t="s">
        <v>279</v>
      </c>
      <c r="S276" t="s">
        <v>257</v>
      </c>
      <c r="T276" t="s">
        <v>258</v>
      </c>
      <c r="U276" t="s">
        <v>281</v>
      </c>
      <c r="V276" s="1">
        <v>7.5900000000000005E-9</v>
      </c>
      <c r="W276" s="1">
        <f t="shared" si="31"/>
        <v>1.0737653493933207E-3</v>
      </c>
      <c r="X276" s="1" t="s">
        <v>234</v>
      </c>
      <c r="Y276" s="3">
        <f t="shared" si="32"/>
        <v>7.0685834705770345</v>
      </c>
      <c r="AA276">
        <v>3</v>
      </c>
      <c r="AD276" t="s">
        <v>247</v>
      </c>
    </row>
    <row r="277" spans="1:30" x14ac:dyDescent="0.35">
      <c r="A277" t="s">
        <v>232</v>
      </c>
      <c r="B277" t="s">
        <v>132</v>
      </c>
      <c r="C277" t="s">
        <v>130</v>
      </c>
      <c r="D277" t="s">
        <v>131</v>
      </c>
      <c r="E277" t="s">
        <v>133</v>
      </c>
      <c r="F277" t="s">
        <v>134</v>
      </c>
      <c r="G277" t="s">
        <v>134</v>
      </c>
      <c r="H277" t="s">
        <v>134</v>
      </c>
      <c r="I277" t="s">
        <v>134</v>
      </c>
      <c r="J277">
        <f>+AVERAGE(4,6)*7+0</f>
        <v>35</v>
      </c>
      <c r="K277" t="s">
        <v>372</v>
      </c>
      <c r="L277" t="s">
        <v>7</v>
      </c>
      <c r="M277" t="s">
        <v>7</v>
      </c>
      <c r="N277" t="s">
        <v>370</v>
      </c>
      <c r="O277" t="s">
        <v>398</v>
      </c>
      <c r="R277" t="s">
        <v>279</v>
      </c>
      <c r="S277" t="s">
        <v>220</v>
      </c>
      <c r="T277" t="s">
        <v>258</v>
      </c>
      <c r="U277" t="s">
        <v>281</v>
      </c>
      <c r="V277" s="1">
        <v>4.9999999999999997E-12</v>
      </c>
      <c r="W277" s="1">
        <f t="shared" si="31"/>
        <v>6.3661977236758133E-6</v>
      </c>
      <c r="X277" s="1" t="s">
        <v>234</v>
      </c>
      <c r="Y277" s="3">
        <f t="shared" si="32"/>
        <v>0.78539816339744828</v>
      </c>
      <c r="AA277">
        <v>1</v>
      </c>
      <c r="AD277" t="s">
        <v>247</v>
      </c>
    </row>
    <row r="278" spans="1:30" x14ac:dyDescent="0.35">
      <c r="A278" t="s">
        <v>232</v>
      </c>
      <c r="B278" t="s">
        <v>132</v>
      </c>
      <c r="C278" t="s">
        <v>130</v>
      </c>
      <c r="D278" t="s">
        <v>131</v>
      </c>
      <c r="E278" t="s">
        <v>133</v>
      </c>
      <c r="F278" t="s">
        <v>134</v>
      </c>
      <c r="G278" t="s">
        <v>134</v>
      </c>
      <c r="H278" t="s">
        <v>134</v>
      </c>
      <c r="I278" t="s">
        <v>134</v>
      </c>
      <c r="J278">
        <f>+AVERAGE(4,6)*7</f>
        <v>35</v>
      </c>
      <c r="K278" t="s">
        <v>372</v>
      </c>
      <c r="L278" t="s">
        <v>13</v>
      </c>
      <c r="M278" t="s">
        <v>399</v>
      </c>
      <c r="N278" t="s">
        <v>370</v>
      </c>
      <c r="O278" t="s">
        <v>398</v>
      </c>
      <c r="R278" t="s">
        <v>279</v>
      </c>
      <c r="S278" t="s">
        <v>257</v>
      </c>
      <c r="T278" t="s">
        <v>258</v>
      </c>
      <c r="U278" t="s">
        <v>281</v>
      </c>
      <c r="V278" s="1">
        <v>2.6299999999999999E-12</v>
      </c>
      <c r="W278" s="1">
        <f t="shared" si="31"/>
        <v>3.7206888918371971E-7</v>
      </c>
      <c r="X278" s="1" t="s">
        <v>234</v>
      </c>
      <c r="Y278" s="3">
        <f t="shared" si="32"/>
        <v>7.0685834705770345</v>
      </c>
      <c r="AA278">
        <v>3</v>
      </c>
      <c r="AD278" t="s">
        <v>247</v>
      </c>
    </row>
    <row r="279" spans="1:30" x14ac:dyDescent="0.35">
      <c r="A279" t="s">
        <v>232</v>
      </c>
      <c r="B279" t="s">
        <v>132</v>
      </c>
      <c r="C279" t="s">
        <v>130</v>
      </c>
      <c r="D279" t="s">
        <v>131</v>
      </c>
      <c r="E279" t="s">
        <v>133</v>
      </c>
      <c r="F279" t="s">
        <v>134</v>
      </c>
      <c r="G279" t="s">
        <v>134</v>
      </c>
      <c r="H279" t="s">
        <v>134</v>
      </c>
      <c r="I279" t="s">
        <v>134</v>
      </c>
      <c r="J279">
        <f>+AVERAGE(6,12)*30</f>
        <v>270</v>
      </c>
      <c r="K279" t="s">
        <v>372</v>
      </c>
      <c r="L279" t="s">
        <v>13</v>
      </c>
      <c r="M279" t="s">
        <v>399</v>
      </c>
      <c r="N279" t="s">
        <v>369</v>
      </c>
      <c r="O279" t="s">
        <v>398</v>
      </c>
      <c r="R279" t="s">
        <v>279</v>
      </c>
      <c r="S279" t="s">
        <v>257</v>
      </c>
      <c r="T279" t="s">
        <v>258</v>
      </c>
      <c r="U279" t="s">
        <v>281</v>
      </c>
      <c r="V279" s="1">
        <v>7.4700000000000001E-9</v>
      </c>
      <c r="W279" s="1">
        <f t="shared" si="31"/>
        <v>1.056788822130185E-3</v>
      </c>
      <c r="X279" s="1" t="s">
        <v>234</v>
      </c>
      <c r="Y279" s="3">
        <f t="shared" si="32"/>
        <v>7.0685834705770345</v>
      </c>
      <c r="AA279">
        <v>3</v>
      </c>
      <c r="AD279" t="s">
        <v>247</v>
      </c>
    </row>
    <row r="280" spans="1:30" x14ac:dyDescent="0.35">
      <c r="A280" t="s">
        <v>232</v>
      </c>
      <c r="B280" t="s">
        <v>132</v>
      </c>
      <c r="C280" t="s">
        <v>130</v>
      </c>
      <c r="D280" t="s">
        <v>131</v>
      </c>
      <c r="E280" t="s">
        <v>133</v>
      </c>
      <c r="F280" t="s">
        <v>134</v>
      </c>
      <c r="G280" t="s">
        <v>134</v>
      </c>
      <c r="H280" t="s">
        <v>134</v>
      </c>
      <c r="I280" t="s">
        <v>134</v>
      </c>
      <c r="J280">
        <f>+AVERAGE(4,6)*7</f>
        <v>35</v>
      </c>
      <c r="K280" t="s">
        <v>372</v>
      </c>
      <c r="L280" t="s">
        <v>13</v>
      </c>
      <c r="M280" t="s">
        <v>399</v>
      </c>
      <c r="N280" t="s">
        <v>370</v>
      </c>
      <c r="O280" t="s">
        <v>398</v>
      </c>
      <c r="R280" t="s">
        <v>279</v>
      </c>
      <c r="S280" t="s">
        <v>220</v>
      </c>
      <c r="T280" t="s">
        <v>258</v>
      </c>
      <c r="U280" t="s">
        <v>281</v>
      </c>
      <c r="V280" s="1">
        <v>8.299999999999999E-13</v>
      </c>
      <c r="W280" s="1">
        <f t="shared" si="31"/>
        <v>1.056788822130185E-6</v>
      </c>
      <c r="X280" s="1" t="s">
        <v>234</v>
      </c>
      <c r="Y280" s="3">
        <f t="shared" si="32"/>
        <v>0.78539816339744828</v>
      </c>
      <c r="AA280">
        <v>1</v>
      </c>
      <c r="AD280" t="s">
        <v>247</v>
      </c>
    </row>
    <row r="281" spans="1:30" x14ac:dyDescent="0.35">
      <c r="A281" t="s">
        <v>232</v>
      </c>
      <c r="B281" t="s">
        <v>132</v>
      </c>
      <c r="C281" t="s">
        <v>130</v>
      </c>
      <c r="D281" t="s">
        <v>131</v>
      </c>
      <c r="E281" t="s">
        <v>133</v>
      </c>
      <c r="F281" t="s">
        <v>134</v>
      </c>
      <c r="G281" t="s">
        <v>134</v>
      </c>
      <c r="H281" t="s">
        <v>134</v>
      </c>
      <c r="I281" t="s">
        <v>134</v>
      </c>
      <c r="J281">
        <f>+AVERAGE(4,6)*7</f>
        <v>35</v>
      </c>
      <c r="K281" t="s">
        <v>372</v>
      </c>
      <c r="L281" t="s">
        <v>13</v>
      </c>
      <c r="M281" t="s">
        <v>399</v>
      </c>
      <c r="N281" t="s">
        <v>370</v>
      </c>
      <c r="O281" t="s">
        <v>398</v>
      </c>
      <c r="R281" t="s">
        <v>279</v>
      </c>
      <c r="S281" t="s">
        <v>257</v>
      </c>
      <c r="T281" t="s">
        <v>258</v>
      </c>
      <c r="U281" t="s">
        <v>281</v>
      </c>
      <c r="V281" s="1">
        <v>6.0099999999999996E-12</v>
      </c>
      <c r="W281" s="1">
        <f t="shared" si="31"/>
        <v>8.5024107376203642E-7</v>
      </c>
      <c r="X281" s="1" t="s">
        <v>234</v>
      </c>
      <c r="Y281" s="3">
        <f t="shared" si="32"/>
        <v>7.0685834705770345</v>
      </c>
      <c r="AA281">
        <v>3</v>
      </c>
      <c r="AD281" t="s">
        <v>247</v>
      </c>
    </row>
    <row r="282" spans="1:30" x14ac:dyDescent="0.35">
      <c r="A282" t="s">
        <v>232</v>
      </c>
      <c r="B282" t="s">
        <v>132</v>
      </c>
      <c r="C282" t="s">
        <v>130</v>
      </c>
      <c r="D282" t="s">
        <v>131</v>
      </c>
      <c r="E282" t="s">
        <v>133</v>
      </c>
      <c r="F282" t="s">
        <v>134</v>
      </c>
      <c r="G282" t="s">
        <v>134</v>
      </c>
      <c r="H282" t="s">
        <v>134</v>
      </c>
      <c r="I282" t="s">
        <v>134</v>
      </c>
      <c r="J282">
        <f>+AVERAGE(6,12)*30</f>
        <v>270</v>
      </c>
      <c r="K282" t="s">
        <v>372</v>
      </c>
      <c r="L282" t="s">
        <v>13</v>
      </c>
      <c r="M282" t="s">
        <v>399</v>
      </c>
      <c r="N282" t="s">
        <v>369</v>
      </c>
      <c r="O282" t="s">
        <v>398</v>
      </c>
      <c r="R282" t="s">
        <v>279</v>
      </c>
      <c r="S282" t="s">
        <v>257</v>
      </c>
      <c r="T282" t="s">
        <v>258</v>
      </c>
      <c r="U282" t="s">
        <v>281</v>
      </c>
      <c r="V282" s="1">
        <v>1.0660000000000001E-8</v>
      </c>
      <c r="W282" s="1">
        <f t="shared" si="31"/>
        <v>1.5080815052085374E-3</v>
      </c>
      <c r="X282" s="1" t="s">
        <v>234</v>
      </c>
      <c r="Y282" s="3">
        <f t="shared" si="32"/>
        <v>7.0685834705770345</v>
      </c>
      <c r="AA282">
        <v>3</v>
      </c>
      <c r="AD282" t="s">
        <v>247</v>
      </c>
    </row>
    <row r="283" spans="1:30" x14ac:dyDescent="0.35">
      <c r="A283" t="s">
        <v>233</v>
      </c>
      <c r="B283" t="s">
        <v>209</v>
      </c>
      <c r="C283" t="s">
        <v>210</v>
      </c>
      <c r="D283" t="s">
        <v>81</v>
      </c>
      <c r="E283" t="s">
        <v>191</v>
      </c>
      <c r="F283" t="s">
        <v>192</v>
      </c>
      <c r="G283" t="s">
        <v>192</v>
      </c>
      <c r="H283" t="s">
        <v>192</v>
      </c>
      <c r="I283" t="s">
        <v>378</v>
      </c>
      <c r="J283">
        <f>+AVERAGE(3,16)</f>
        <v>9.5</v>
      </c>
      <c r="K283" t="s">
        <v>406</v>
      </c>
      <c r="L283" t="s">
        <v>406</v>
      </c>
      <c r="M283" t="s">
        <v>406</v>
      </c>
      <c r="R283" t="s">
        <v>279</v>
      </c>
      <c r="S283" t="s">
        <v>251</v>
      </c>
      <c r="T283" t="s">
        <v>215</v>
      </c>
      <c r="U283" t="s">
        <v>281</v>
      </c>
      <c r="V283" s="1">
        <f>'[30]Frensch&amp;Steudle_1989_Fig5'!$E$8</f>
        <v>6.5324436132877258E-13</v>
      </c>
      <c r="W283" s="1">
        <f t="shared" si="31"/>
        <v>5.7759482862434625E-7</v>
      </c>
      <c r="X283" s="1" t="s">
        <v>234</v>
      </c>
      <c r="Y283" s="3">
        <f t="shared" si="32"/>
        <v>1.1309733552923256</v>
      </c>
      <c r="AA283">
        <f>+AVERAGE(1,1.4)</f>
        <v>1.2</v>
      </c>
      <c r="AD283" t="s">
        <v>213</v>
      </c>
    </row>
    <row r="284" spans="1:30" x14ac:dyDescent="0.35">
      <c r="A284" t="s">
        <v>233</v>
      </c>
      <c r="B284" t="s">
        <v>209</v>
      </c>
      <c r="C284" t="s">
        <v>210</v>
      </c>
      <c r="D284" t="s">
        <v>81</v>
      </c>
      <c r="E284" t="s">
        <v>191</v>
      </c>
      <c r="F284" t="s">
        <v>192</v>
      </c>
      <c r="G284" t="s">
        <v>192</v>
      </c>
      <c r="H284" t="s">
        <v>192</v>
      </c>
      <c r="I284" t="s">
        <v>378</v>
      </c>
      <c r="J284">
        <f t="shared" ref="J284:J285" si="33">+AVERAGE(3,16)</f>
        <v>9.5</v>
      </c>
      <c r="K284" t="s">
        <v>406</v>
      </c>
      <c r="L284" t="s">
        <v>406</v>
      </c>
      <c r="M284" t="s">
        <v>406</v>
      </c>
      <c r="R284" t="s">
        <v>279</v>
      </c>
      <c r="S284" t="s">
        <v>251</v>
      </c>
      <c r="T284" t="s">
        <v>214</v>
      </c>
      <c r="U284" t="s">
        <v>281</v>
      </c>
      <c r="V284" s="1">
        <f>'[30]Frensch&amp;Steudle_1989_Fig5'!$E$23</f>
        <v>2.4754557863985056E-11</v>
      </c>
      <c r="W284" s="1">
        <f t="shared" si="31"/>
        <v>2.1887834711708735E-5</v>
      </c>
      <c r="X284" s="1" t="s">
        <v>234</v>
      </c>
      <c r="Y284" s="3">
        <f t="shared" si="32"/>
        <v>1.1309733552923256</v>
      </c>
      <c r="AA284">
        <f t="shared" ref="AA284:AA285" si="34">+AVERAGE(1,1.4)</f>
        <v>1.2</v>
      </c>
      <c r="AD284" t="s">
        <v>213</v>
      </c>
    </row>
    <row r="285" spans="1:30" x14ac:dyDescent="0.35">
      <c r="A285" t="s">
        <v>233</v>
      </c>
      <c r="B285" t="s">
        <v>209</v>
      </c>
      <c r="C285" t="s">
        <v>210</v>
      </c>
      <c r="D285" t="s">
        <v>81</v>
      </c>
      <c r="E285" t="s">
        <v>191</v>
      </c>
      <c r="F285" t="s">
        <v>192</v>
      </c>
      <c r="G285" t="s">
        <v>192</v>
      </c>
      <c r="H285" t="s">
        <v>192</v>
      </c>
      <c r="I285" t="s">
        <v>378</v>
      </c>
      <c r="J285">
        <f t="shared" si="33"/>
        <v>9.5</v>
      </c>
      <c r="K285" t="s">
        <v>406</v>
      </c>
      <c r="L285" t="s">
        <v>406</v>
      </c>
      <c r="M285" t="s">
        <v>406</v>
      </c>
      <c r="R285" t="s">
        <v>279</v>
      </c>
      <c r="S285" t="s">
        <v>251</v>
      </c>
      <c r="T285" t="s">
        <v>216</v>
      </c>
      <c r="U285" t="s">
        <v>281</v>
      </c>
      <c r="V285" s="1">
        <f>'[30]Frensch&amp;Steudle_1989_Fig5'!$E$40</f>
        <v>3.7935745588682237E-11</v>
      </c>
      <c r="W285" s="1">
        <f t="shared" si="31"/>
        <v>3.3542563501751898E-5</v>
      </c>
      <c r="X285" s="1" t="s">
        <v>234</v>
      </c>
      <c r="Y285" s="3">
        <f t="shared" si="32"/>
        <v>1.1309733552923256</v>
      </c>
      <c r="AA285">
        <f t="shared" si="34"/>
        <v>1.2</v>
      </c>
      <c r="AD285" t="s">
        <v>213</v>
      </c>
    </row>
  </sheetData>
  <autoFilter ref="A1:AD285" xr:uid="{3B03BFA3-4E3C-43B8-9FAE-D4F279DC8C5B}"/>
  <phoneticPr fontId="3"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2022-08-18T14:04:18Z</dcterms:created>
  <dcterms:modified xsi:type="dcterms:W3CDTF">2023-11-20T20:21:51Z</dcterms:modified>
</cp:coreProperties>
</file>