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c.garcia-taheno\Desktop\CE_3_TahenoHijes\"/>
    </mc:Choice>
  </mc:AlternateContent>
  <xr:revisionPtr revIDLastSave="0" documentId="13_ncr:1_{12C07404-9D40-465A-815E-C08B350E63D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aram_Catia" sheetId="1" r:id="rId1"/>
    <sheet name="Rosca0" sheetId="16" r:id="rId2"/>
    <sheet name="Helicoil_Catia" sheetId="9" r:id="rId3"/>
    <sheet name="ISO_4762" sheetId="11" r:id="rId4"/>
    <sheet name="ISO_7089_Arandela" sheetId="12" r:id="rId5"/>
    <sheet name="Long_Roscado" sheetId="13" r:id="rId6"/>
    <sheet name="e1_ProfRoscado" sheetId="15" r:id="rId7"/>
    <sheet name="Sucio" sheetId="17" r:id="rId8"/>
    <sheet name="Rosca" sheetId="5" r:id="rId9"/>
    <sheet name="Long_Roscado (2)" sheetId="14" r:id="rId10"/>
    <sheet name="Helicoil_Catia_2" sheetId="10" r:id="rId11"/>
    <sheet name="Helicoil" sheetId="6" r:id="rId12"/>
    <sheet name="Sizes" sheetId="4" r:id="rId13"/>
    <sheet name="Bolt_Metric_data_M" sheetId="2" r:id="rId14"/>
    <sheet name="Bolt_Metric_data_MJ" sheetId="3" r:id="rId15"/>
    <sheet name="Hoja1" sheetId="7" r:id="rId16"/>
    <sheet name="Hoja2" sheetId="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1" l="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X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D131" i="6"/>
  <c r="D130" i="6"/>
  <c r="D129" i="6"/>
  <c r="D128" i="6"/>
  <c r="D127" i="6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J82" i="9"/>
  <c r="J83" i="9"/>
  <c r="J84" i="9"/>
  <c r="J85" i="9"/>
  <c r="J86" i="9"/>
  <c r="J87" i="9"/>
  <c r="J88" i="9"/>
  <c r="J89" i="9"/>
  <c r="J90" i="9"/>
  <c r="J91" i="9"/>
  <c r="H75" i="9"/>
  <c r="H76" i="9"/>
  <c r="H77" i="9"/>
  <c r="H78" i="9"/>
  <c r="H79" i="9"/>
  <c r="H80" i="9"/>
  <c r="H81" i="9"/>
  <c r="K76" i="9"/>
  <c r="K77" i="9"/>
  <c r="K78" i="9"/>
  <c r="K79" i="9"/>
  <c r="K80" i="9"/>
  <c r="K81" i="9"/>
  <c r="J76" i="9"/>
  <c r="J77" i="9"/>
  <c r="J78" i="9"/>
  <c r="J79" i="9"/>
  <c r="J80" i="9"/>
  <c r="J81" i="9"/>
  <c r="I76" i="9"/>
  <c r="I77" i="9"/>
  <c r="I78" i="9"/>
  <c r="I79" i="9"/>
  <c r="I80" i="9"/>
  <c r="I81" i="9"/>
  <c r="G76" i="9"/>
  <c r="G77" i="9"/>
  <c r="G78" i="9"/>
  <c r="G79" i="9"/>
  <c r="G80" i="9"/>
  <c r="G81" i="9"/>
  <c r="F76" i="9"/>
  <c r="F77" i="9"/>
  <c r="F78" i="9"/>
  <c r="F79" i="9"/>
  <c r="F80" i="9"/>
  <c r="F81" i="9"/>
  <c r="E78" i="9"/>
  <c r="E79" i="9"/>
  <c r="E80" i="9"/>
  <c r="E81" i="9"/>
  <c r="E77" i="9"/>
  <c r="D115" i="9"/>
  <c r="N115" i="9" s="1"/>
  <c r="D116" i="9"/>
  <c r="N116" i="9" s="1"/>
  <c r="D117" i="9"/>
  <c r="N117" i="9" s="1"/>
  <c r="D118" i="9"/>
  <c r="D119" i="9"/>
  <c r="N119" i="9" s="1"/>
  <c r="D120" i="9"/>
  <c r="N120" i="9" s="1"/>
  <c r="D121" i="9"/>
  <c r="N121" i="9" s="1"/>
  <c r="D122" i="9"/>
  <c r="N122" i="9" s="1"/>
  <c r="E115" i="9"/>
  <c r="E116" i="9"/>
  <c r="E117" i="9"/>
  <c r="E118" i="9"/>
  <c r="E119" i="9"/>
  <c r="E120" i="9"/>
  <c r="E121" i="9"/>
  <c r="E122" i="9"/>
  <c r="F115" i="9"/>
  <c r="F116" i="9"/>
  <c r="F117" i="9"/>
  <c r="F118" i="9"/>
  <c r="F119" i="9"/>
  <c r="F120" i="9"/>
  <c r="F121" i="9"/>
  <c r="F122" i="9"/>
  <c r="G115" i="9"/>
  <c r="G116" i="9"/>
  <c r="G117" i="9"/>
  <c r="G118" i="9"/>
  <c r="G119" i="9"/>
  <c r="G120" i="9"/>
  <c r="G121" i="9"/>
  <c r="G122" i="9"/>
  <c r="H115" i="9"/>
  <c r="H116" i="9"/>
  <c r="H117" i="9"/>
  <c r="H118" i="9"/>
  <c r="H119" i="9"/>
  <c r="H120" i="9"/>
  <c r="H121" i="9"/>
  <c r="H122" i="9"/>
  <c r="I115" i="9"/>
  <c r="I116" i="9"/>
  <c r="I117" i="9"/>
  <c r="I118" i="9"/>
  <c r="I119" i="9"/>
  <c r="I120" i="9"/>
  <c r="I121" i="9"/>
  <c r="I122" i="9"/>
  <c r="J115" i="9"/>
  <c r="J116" i="9"/>
  <c r="J117" i="9"/>
  <c r="J118" i="9"/>
  <c r="J119" i="9"/>
  <c r="J120" i="9"/>
  <c r="J121" i="9"/>
  <c r="J122" i="9"/>
  <c r="K115" i="9"/>
  <c r="K116" i="9"/>
  <c r="K117" i="9"/>
  <c r="K118" i="9"/>
  <c r="K119" i="9"/>
  <c r="K120" i="9"/>
  <c r="K121" i="9"/>
  <c r="K122" i="9"/>
  <c r="N118" i="9"/>
  <c r="A115" i="9"/>
  <c r="C115" i="9" s="1"/>
  <c r="A116" i="9"/>
  <c r="C116" i="9" s="1"/>
  <c r="A117" i="9"/>
  <c r="C117" i="9" s="1"/>
  <c r="A118" i="9"/>
  <c r="C118" i="9" s="1"/>
  <c r="A119" i="9"/>
  <c r="C119" i="9" s="1"/>
  <c r="A120" i="9"/>
  <c r="C120" i="9" s="1"/>
  <c r="A121" i="9"/>
  <c r="C121" i="9" s="1"/>
  <c r="A122" i="9"/>
  <c r="C122" i="9" s="1"/>
  <c r="A98" i="9"/>
  <c r="A99" i="9"/>
  <c r="A100" i="9"/>
  <c r="A101" i="9"/>
  <c r="A102" i="9"/>
  <c r="C102" i="9" s="1"/>
  <c r="A103" i="9"/>
  <c r="A104" i="9"/>
  <c r="A105" i="9"/>
  <c r="A106" i="9"/>
  <c r="A107" i="9"/>
  <c r="A108" i="9"/>
  <c r="A109" i="9"/>
  <c r="A110" i="9"/>
  <c r="A111" i="9"/>
  <c r="A112" i="9"/>
  <c r="A113" i="9"/>
  <c r="A114" i="9"/>
  <c r="A97" i="9"/>
  <c r="C97" i="9" s="1"/>
  <c r="D97" i="6"/>
  <c r="D102" i="9"/>
  <c r="D125" i="6"/>
  <c r="D124" i="6"/>
  <c r="D123" i="6"/>
  <c r="D122" i="6"/>
  <c r="D115" i="6"/>
  <c r="D114" i="6"/>
  <c r="D113" i="6"/>
  <c r="D112" i="6"/>
  <c r="D110" i="6"/>
  <c r="D109" i="6"/>
  <c r="D108" i="6"/>
  <c r="D107" i="6"/>
  <c r="D105" i="6"/>
  <c r="D104" i="6"/>
  <c r="D103" i="6"/>
  <c r="D102" i="6"/>
  <c r="E82" i="9"/>
  <c r="J71" i="9"/>
  <c r="O3" i="16"/>
  <c r="P3" i="16"/>
  <c r="Q3" i="16"/>
  <c r="R3" i="16"/>
  <c r="M115" i="9" l="1"/>
  <c r="L115" i="9"/>
  <c r="M116" i="9"/>
  <c r="L122" i="9"/>
  <c r="L116" i="9"/>
  <c r="L120" i="9"/>
  <c r="M122" i="9"/>
  <c r="M120" i="9"/>
  <c r="M118" i="9"/>
  <c r="L119" i="9"/>
  <c r="M117" i="9"/>
  <c r="L118" i="9"/>
  <c r="L117" i="9"/>
  <c r="M121" i="9"/>
  <c r="M119" i="9"/>
  <c r="L121" i="9"/>
  <c r="Q2" i="16"/>
  <c r="R2" i="16"/>
  <c r="S2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P2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O2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S90" i="5"/>
  <c r="R90" i="5"/>
  <c r="C114" i="9"/>
  <c r="C113" i="9"/>
  <c r="C112" i="9"/>
  <c r="C111" i="9"/>
  <c r="C110" i="9"/>
  <c r="C109" i="9"/>
  <c r="C108" i="9"/>
  <c r="C107" i="9"/>
  <c r="C106" i="9"/>
  <c r="C105" i="9"/>
  <c r="C104" i="9"/>
  <c r="C103" i="9"/>
  <c r="C101" i="9"/>
  <c r="C100" i="9"/>
  <c r="C99" i="9"/>
  <c r="C98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9" i="9"/>
  <c r="C16" i="9"/>
  <c r="C15" i="9"/>
  <c r="C14" i="9"/>
  <c r="C13" i="9"/>
  <c r="C12" i="9"/>
  <c r="C11" i="9"/>
  <c r="C10" i="9"/>
  <c r="C8" i="9"/>
  <c r="C7" i="9"/>
  <c r="C6" i="9"/>
  <c r="C5" i="9"/>
  <c r="C4" i="9"/>
  <c r="C2" i="9"/>
  <c r="C3" i="9"/>
  <c r="H2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K2" i="9"/>
  <c r="N116" i="10"/>
  <c r="M116" i="10"/>
  <c r="L116" i="10"/>
  <c r="K116" i="10"/>
  <c r="J116" i="10"/>
  <c r="I116" i="10"/>
  <c r="H116" i="10"/>
  <c r="G116" i="10"/>
  <c r="F116" i="10"/>
  <c r="E116" i="10"/>
  <c r="C116" i="10"/>
  <c r="B116" i="10"/>
  <c r="N115" i="10"/>
  <c r="M115" i="10"/>
  <c r="L115" i="10"/>
  <c r="K115" i="10"/>
  <c r="J115" i="10"/>
  <c r="I115" i="10"/>
  <c r="H115" i="10"/>
  <c r="G115" i="10"/>
  <c r="F115" i="10"/>
  <c r="E115" i="10"/>
  <c r="C115" i="10"/>
  <c r="B115" i="10"/>
  <c r="N114" i="10"/>
  <c r="M114" i="10"/>
  <c r="L114" i="10"/>
  <c r="K114" i="10"/>
  <c r="J114" i="10"/>
  <c r="I114" i="10"/>
  <c r="H114" i="10"/>
  <c r="G114" i="10"/>
  <c r="F114" i="10"/>
  <c r="E114" i="10"/>
  <c r="C114" i="10"/>
  <c r="B114" i="10"/>
  <c r="N113" i="10"/>
  <c r="M113" i="10"/>
  <c r="L113" i="10"/>
  <c r="K113" i="10"/>
  <c r="J113" i="10"/>
  <c r="I113" i="10"/>
  <c r="H113" i="10"/>
  <c r="G113" i="10"/>
  <c r="F113" i="10"/>
  <c r="E113" i="10"/>
  <c r="C113" i="10"/>
  <c r="B113" i="10"/>
  <c r="N112" i="10"/>
  <c r="M112" i="10"/>
  <c r="L112" i="10"/>
  <c r="K112" i="10"/>
  <c r="J112" i="10"/>
  <c r="I112" i="10"/>
  <c r="H112" i="10"/>
  <c r="G112" i="10"/>
  <c r="F112" i="10"/>
  <c r="E112" i="10"/>
  <c r="C112" i="10"/>
  <c r="B112" i="10"/>
  <c r="N111" i="10"/>
  <c r="M111" i="10"/>
  <c r="L111" i="10"/>
  <c r="K111" i="10"/>
  <c r="J111" i="10"/>
  <c r="I111" i="10"/>
  <c r="H111" i="10"/>
  <c r="G111" i="10"/>
  <c r="F111" i="10"/>
  <c r="E111" i="10"/>
  <c r="C111" i="10"/>
  <c r="B111" i="10"/>
  <c r="N110" i="10"/>
  <c r="M110" i="10"/>
  <c r="L110" i="10"/>
  <c r="K110" i="10"/>
  <c r="J110" i="10"/>
  <c r="I110" i="10"/>
  <c r="H110" i="10"/>
  <c r="G110" i="10"/>
  <c r="F110" i="10"/>
  <c r="E110" i="10"/>
  <c r="C110" i="10"/>
  <c r="B110" i="10"/>
  <c r="N109" i="10"/>
  <c r="M109" i="10"/>
  <c r="L109" i="10"/>
  <c r="K109" i="10"/>
  <c r="J109" i="10"/>
  <c r="I109" i="10"/>
  <c r="H109" i="10"/>
  <c r="G109" i="10"/>
  <c r="F109" i="10"/>
  <c r="E109" i="10"/>
  <c r="C109" i="10"/>
  <c r="B109" i="10"/>
  <c r="N108" i="10"/>
  <c r="M108" i="10"/>
  <c r="L108" i="10"/>
  <c r="K108" i="10"/>
  <c r="J108" i="10"/>
  <c r="I108" i="10"/>
  <c r="H108" i="10"/>
  <c r="G108" i="10"/>
  <c r="F108" i="10"/>
  <c r="E108" i="10"/>
  <c r="C108" i="10"/>
  <c r="B108" i="10"/>
  <c r="N107" i="10"/>
  <c r="M107" i="10"/>
  <c r="L107" i="10"/>
  <c r="K107" i="10"/>
  <c r="J107" i="10"/>
  <c r="I107" i="10"/>
  <c r="H107" i="10"/>
  <c r="G107" i="10"/>
  <c r="F107" i="10"/>
  <c r="E107" i="10"/>
  <c r="C107" i="10"/>
  <c r="B107" i="10"/>
  <c r="N106" i="10"/>
  <c r="M106" i="10"/>
  <c r="L106" i="10"/>
  <c r="K106" i="10"/>
  <c r="J106" i="10"/>
  <c r="I106" i="10"/>
  <c r="H106" i="10"/>
  <c r="G106" i="10"/>
  <c r="F106" i="10"/>
  <c r="E106" i="10"/>
  <c r="C106" i="10"/>
  <c r="B106" i="10"/>
  <c r="N105" i="10"/>
  <c r="M105" i="10"/>
  <c r="L105" i="10"/>
  <c r="K105" i="10"/>
  <c r="J105" i="10"/>
  <c r="I105" i="10"/>
  <c r="H105" i="10"/>
  <c r="G105" i="10"/>
  <c r="F105" i="10"/>
  <c r="E105" i="10"/>
  <c r="C105" i="10"/>
  <c r="B105" i="10"/>
  <c r="N104" i="10"/>
  <c r="M104" i="10"/>
  <c r="L104" i="10"/>
  <c r="K104" i="10"/>
  <c r="J104" i="10"/>
  <c r="I104" i="10"/>
  <c r="H104" i="10"/>
  <c r="G104" i="10"/>
  <c r="F104" i="10"/>
  <c r="E104" i="10"/>
  <c r="C104" i="10"/>
  <c r="B104" i="10"/>
  <c r="N103" i="10"/>
  <c r="M103" i="10"/>
  <c r="L103" i="10"/>
  <c r="K103" i="10"/>
  <c r="J103" i="10"/>
  <c r="I103" i="10"/>
  <c r="H103" i="10"/>
  <c r="G103" i="10"/>
  <c r="F103" i="10"/>
  <c r="E103" i="10"/>
  <c r="C103" i="10"/>
  <c r="B103" i="10"/>
  <c r="N102" i="10"/>
  <c r="M102" i="10"/>
  <c r="L102" i="10"/>
  <c r="K102" i="10"/>
  <c r="J102" i="10"/>
  <c r="I102" i="10"/>
  <c r="H102" i="10"/>
  <c r="G102" i="10"/>
  <c r="F102" i="10"/>
  <c r="E102" i="10"/>
  <c r="C102" i="10"/>
  <c r="B102" i="10"/>
  <c r="N101" i="10"/>
  <c r="M101" i="10"/>
  <c r="L101" i="10"/>
  <c r="K101" i="10"/>
  <c r="J101" i="10"/>
  <c r="I101" i="10"/>
  <c r="H101" i="10"/>
  <c r="G101" i="10"/>
  <c r="F101" i="10"/>
  <c r="E101" i="10"/>
  <c r="C101" i="10"/>
  <c r="B101" i="10"/>
  <c r="N100" i="10"/>
  <c r="M100" i="10"/>
  <c r="L100" i="10"/>
  <c r="K100" i="10"/>
  <c r="J100" i="10"/>
  <c r="I100" i="10"/>
  <c r="H100" i="10"/>
  <c r="G100" i="10"/>
  <c r="F100" i="10"/>
  <c r="E100" i="10"/>
  <c r="C100" i="10"/>
  <c r="B100" i="10"/>
  <c r="N99" i="10"/>
  <c r="M99" i="10"/>
  <c r="L99" i="10"/>
  <c r="K99" i="10"/>
  <c r="J99" i="10"/>
  <c r="I99" i="10"/>
  <c r="H99" i="10"/>
  <c r="G99" i="10"/>
  <c r="F99" i="10"/>
  <c r="E99" i="10"/>
  <c r="C99" i="10"/>
  <c r="B99" i="10"/>
  <c r="N98" i="10"/>
  <c r="M98" i="10"/>
  <c r="L98" i="10"/>
  <c r="K98" i="10"/>
  <c r="J98" i="10"/>
  <c r="I98" i="10"/>
  <c r="H98" i="10"/>
  <c r="G98" i="10"/>
  <c r="F98" i="10"/>
  <c r="E98" i="10"/>
  <c r="C98" i="10"/>
  <c r="B98" i="10"/>
  <c r="N97" i="10"/>
  <c r="M97" i="10"/>
  <c r="L97" i="10"/>
  <c r="K97" i="10"/>
  <c r="J97" i="10"/>
  <c r="I97" i="10"/>
  <c r="H97" i="10"/>
  <c r="G97" i="10"/>
  <c r="F97" i="10"/>
  <c r="E97" i="10"/>
  <c r="C97" i="10"/>
  <c r="B97" i="10"/>
  <c r="N96" i="10"/>
  <c r="M96" i="10"/>
  <c r="L96" i="10"/>
  <c r="K96" i="10"/>
  <c r="J96" i="10"/>
  <c r="I96" i="10"/>
  <c r="H96" i="10"/>
  <c r="G96" i="10"/>
  <c r="F96" i="10"/>
  <c r="E96" i="10"/>
  <c r="C96" i="10"/>
  <c r="B96" i="10"/>
  <c r="N95" i="10"/>
  <c r="M95" i="10"/>
  <c r="L95" i="10"/>
  <c r="K95" i="10"/>
  <c r="J95" i="10"/>
  <c r="I95" i="10"/>
  <c r="H95" i="10"/>
  <c r="G95" i="10"/>
  <c r="F95" i="10"/>
  <c r="E95" i="10"/>
  <c r="C95" i="10"/>
  <c r="B95" i="10"/>
  <c r="N94" i="10"/>
  <c r="M94" i="10"/>
  <c r="L94" i="10"/>
  <c r="K94" i="10"/>
  <c r="J94" i="10"/>
  <c r="I94" i="10"/>
  <c r="H94" i="10"/>
  <c r="G94" i="10"/>
  <c r="F94" i="10"/>
  <c r="E94" i="10"/>
  <c r="C94" i="10"/>
  <c r="B94" i="10"/>
  <c r="N93" i="10"/>
  <c r="M93" i="10"/>
  <c r="L93" i="10"/>
  <c r="K93" i="10"/>
  <c r="J93" i="10"/>
  <c r="I93" i="10"/>
  <c r="H93" i="10"/>
  <c r="G93" i="10"/>
  <c r="F93" i="10"/>
  <c r="E93" i="10"/>
  <c r="C93" i="10"/>
  <c r="B93" i="10"/>
  <c r="N92" i="10"/>
  <c r="M92" i="10"/>
  <c r="L92" i="10"/>
  <c r="K92" i="10"/>
  <c r="J92" i="10"/>
  <c r="I92" i="10"/>
  <c r="H92" i="10"/>
  <c r="G92" i="10"/>
  <c r="F92" i="10"/>
  <c r="E92" i="10"/>
  <c r="C92" i="10"/>
  <c r="B92" i="10"/>
  <c r="N91" i="10"/>
  <c r="M91" i="10"/>
  <c r="L91" i="10"/>
  <c r="K91" i="10"/>
  <c r="J91" i="10"/>
  <c r="I91" i="10"/>
  <c r="H91" i="10"/>
  <c r="G91" i="10"/>
  <c r="F91" i="10"/>
  <c r="E91" i="10"/>
  <c r="C91" i="10"/>
  <c r="B91" i="10"/>
  <c r="N90" i="10"/>
  <c r="M90" i="10"/>
  <c r="L90" i="10"/>
  <c r="K90" i="10"/>
  <c r="J90" i="10"/>
  <c r="I90" i="10"/>
  <c r="H90" i="10"/>
  <c r="G90" i="10"/>
  <c r="F90" i="10"/>
  <c r="E90" i="10"/>
  <c r="C90" i="10"/>
  <c r="B90" i="10"/>
  <c r="N89" i="10"/>
  <c r="M89" i="10"/>
  <c r="L89" i="10"/>
  <c r="K89" i="10"/>
  <c r="J89" i="10"/>
  <c r="I89" i="10"/>
  <c r="H89" i="10"/>
  <c r="G89" i="10"/>
  <c r="F89" i="10"/>
  <c r="E89" i="10"/>
  <c r="C89" i="10"/>
  <c r="B89" i="10"/>
  <c r="N88" i="10"/>
  <c r="M88" i="10"/>
  <c r="L88" i="10"/>
  <c r="K88" i="10"/>
  <c r="J88" i="10"/>
  <c r="I88" i="10"/>
  <c r="H88" i="10"/>
  <c r="G88" i="10"/>
  <c r="F88" i="10"/>
  <c r="E88" i="10"/>
  <c r="C88" i="10"/>
  <c r="B88" i="10"/>
  <c r="N87" i="10"/>
  <c r="M87" i="10"/>
  <c r="L87" i="10"/>
  <c r="K87" i="10"/>
  <c r="J87" i="10"/>
  <c r="I87" i="10"/>
  <c r="H87" i="10"/>
  <c r="G87" i="10"/>
  <c r="F87" i="10"/>
  <c r="E87" i="10"/>
  <c r="C87" i="10"/>
  <c r="B87" i="10"/>
  <c r="N86" i="10"/>
  <c r="M86" i="10"/>
  <c r="L86" i="10"/>
  <c r="K86" i="10"/>
  <c r="J86" i="10"/>
  <c r="I86" i="10"/>
  <c r="H86" i="10"/>
  <c r="G86" i="10"/>
  <c r="F86" i="10"/>
  <c r="E86" i="10"/>
  <c r="C86" i="10"/>
  <c r="B86" i="10"/>
  <c r="N85" i="10"/>
  <c r="M85" i="10"/>
  <c r="L85" i="10"/>
  <c r="K85" i="10"/>
  <c r="J85" i="10"/>
  <c r="I85" i="10"/>
  <c r="H85" i="10"/>
  <c r="G85" i="10"/>
  <c r="F85" i="10"/>
  <c r="E85" i="10"/>
  <c r="C85" i="10"/>
  <c r="B85" i="10"/>
  <c r="N84" i="10"/>
  <c r="M84" i="10"/>
  <c r="L84" i="10"/>
  <c r="K84" i="10"/>
  <c r="J84" i="10"/>
  <c r="I84" i="10"/>
  <c r="H84" i="10"/>
  <c r="G84" i="10"/>
  <c r="F84" i="10"/>
  <c r="E84" i="10"/>
  <c r="C84" i="10"/>
  <c r="B84" i="10"/>
  <c r="N83" i="10"/>
  <c r="M83" i="10"/>
  <c r="L83" i="10"/>
  <c r="K83" i="10"/>
  <c r="J83" i="10"/>
  <c r="I83" i="10"/>
  <c r="H83" i="10"/>
  <c r="G83" i="10"/>
  <c r="F83" i="10"/>
  <c r="E83" i="10"/>
  <c r="C83" i="10"/>
  <c r="B83" i="10"/>
  <c r="N82" i="10"/>
  <c r="M82" i="10"/>
  <c r="L82" i="10"/>
  <c r="K82" i="10"/>
  <c r="J82" i="10"/>
  <c r="I82" i="10"/>
  <c r="H82" i="10"/>
  <c r="G82" i="10"/>
  <c r="F82" i="10"/>
  <c r="E82" i="10"/>
  <c r="C82" i="10"/>
  <c r="B82" i="10"/>
  <c r="N81" i="10"/>
  <c r="M81" i="10"/>
  <c r="L81" i="10"/>
  <c r="K81" i="10"/>
  <c r="J81" i="10"/>
  <c r="I81" i="10"/>
  <c r="H81" i="10"/>
  <c r="G81" i="10"/>
  <c r="F81" i="10"/>
  <c r="E81" i="10"/>
  <c r="C81" i="10"/>
  <c r="B81" i="10"/>
  <c r="N80" i="10"/>
  <c r="M80" i="10"/>
  <c r="L80" i="10"/>
  <c r="K80" i="10"/>
  <c r="J80" i="10"/>
  <c r="I80" i="10"/>
  <c r="H80" i="10"/>
  <c r="G80" i="10"/>
  <c r="F80" i="10"/>
  <c r="E80" i="10"/>
  <c r="C80" i="10"/>
  <c r="B80" i="10"/>
  <c r="N79" i="10"/>
  <c r="M79" i="10"/>
  <c r="L79" i="10"/>
  <c r="K79" i="10"/>
  <c r="J79" i="10"/>
  <c r="I79" i="10"/>
  <c r="H79" i="10"/>
  <c r="G79" i="10"/>
  <c r="F79" i="10"/>
  <c r="E79" i="10"/>
  <c r="C79" i="10"/>
  <c r="B79" i="10"/>
  <c r="N78" i="10"/>
  <c r="M78" i="10"/>
  <c r="L78" i="10"/>
  <c r="K78" i="10"/>
  <c r="J78" i="10"/>
  <c r="I78" i="10"/>
  <c r="H78" i="10"/>
  <c r="G78" i="10"/>
  <c r="F78" i="10"/>
  <c r="E78" i="10"/>
  <c r="C78" i="10"/>
  <c r="B78" i="10"/>
  <c r="N77" i="10"/>
  <c r="M77" i="10"/>
  <c r="L77" i="10"/>
  <c r="K77" i="10"/>
  <c r="J77" i="10"/>
  <c r="I77" i="10"/>
  <c r="H77" i="10"/>
  <c r="G77" i="10"/>
  <c r="F77" i="10"/>
  <c r="E77" i="10"/>
  <c r="C77" i="10"/>
  <c r="B77" i="10"/>
  <c r="N76" i="10"/>
  <c r="M76" i="10"/>
  <c r="L76" i="10"/>
  <c r="K76" i="10"/>
  <c r="J76" i="10"/>
  <c r="I76" i="10"/>
  <c r="H76" i="10"/>
  <c r="G76" i="10"/>
  <c r="F76" i="10"/>
  <c r="E76" i="10"/>
  <c r="C76" i="10"/>
  <c r="B76" i="10"/>
  <c r="N75" i="10"/>
  <c r="M75" i="10"/>
  <c r="L75" i="10"/>
  <c r="K75" i="10"/>
  <c r="J75" i="10"/>
  <c r="I75" i="10"/>
  <c r="H75" i="10"/>
  <c r="G75" i="10"/>
  <c r="F75" i="10"/>
  <c r="E75" i="10"/>
  <c r="C75" i="10"/>
  <c r="B75" i="10"/>
  <c r="N74" i="10"/>
  <c r="M74" i="10"/>
  <c r="L74" i="10"/>
  <c r="K74" i="10"/>
  <c r="J74" i="10"/>
  <c r="I74" i="10"/>
  <c r="H74" i="10"/>
  <c r="G74" i="10"/>
  <c r="F74" i="10"/>
  <c r="E74" i="10"/>
  <c r="C74" i="10"/>
  <c r="B74" i="10"/>
  <c r="N73" i="10"/>
  <c r="M73" i="10"/>
  <c r="L73" i="10"/>
  <c r="K73" i="10"/>
  <c r="J73" i="10"/>
  <c r="I73" i="10"/>
  <c r="H73" i="10"/>
  <c r="G73" i="10"/>
  <c r="F73" i="10"/>
  <c r="E73" i="10"/>
  <c r="C73" i="10"/>
  <c r="B73" i="10"/>
  <c r="N72" i="10"/>
  <c r="M72" i="10"/>
  <c r="L72" i="10"/>
  <c r="K72" i="10"/>
  <c r="J72" i="10"/>
  <c r="I72" i="10"/>
  <c r="H72" i="10"/>
  <c r="G72" i="10"/>
  <c r="F72" i="10"/>
  <c r="E72" i="10"/>
  <c r="C72" i="10"/>
  <c r="B72" i="10"/>
  <c r="N71" i="10"/>
  <c r="M71" i="10"/>
  <c r="L71" i="10"/>
  <c r="K71" i="10"/>
  <c r="J71" i="10"/>
  <c r="I71" i="10"/>
  <c r="H71" i="10"/>
  <c r="G71" i="10"/>
  <c r="F71" i="10"/>
  <c r="E71" i="10"/>
  <c r="C71" i="10"/>
  <c r="B71" i="10"/>
  <c r="N70" i="10"/>
  <c r="M70" i="10"/>
  <c r="L70" i="10"/>
  <c r="K70" i="10"/>
  <c r="J70" i="10"/>
  <c r="I70" i="10"/>
  <c r="H70" i="10"/>
  <c r="G70" i="10"/>
  <c r="F70" i="10"/>
  <c r="E70" i="10"/>
  <c r="C70" i="10"/>
  <c r="B70" i="10"/>
  <c r="N69" i="10"/>
  <c r="M69" i="10"/>
  <c r="L69" i="10"/>
  <c r="K69" i="10"/>
  <c r="J69" i="10"/>
  <c r="I69" i="10"/>
  <c r="H69" i="10"/>
  <c r="G69" i="10"/>
  <c r="F69" i="10"/>
  <c r="E69" i="10"/>
  <c r="C69" i="10"/>
  <c r="B69" i="10"/>
  <c r="N68" i="10"/>
  <c r="M68" i="10"/>
  <c r="L68" i="10"/>
  <c r="K68" i="10"/>
  <c r="J68" i="10"/>
  <c r="I68" i="10"/>
  <c r="H68" i="10"/>
  <c r="G68" i="10"/>
  <c r="F68" i="10"/>
  <c r="E68" i="10"/>
  <c r="C68" i="10"/>
  <c r="B68" i="10"/>
  <c r="N67" i="10"/>
  <c r="M67" i="10"/>
  <c r="L67" i="10"/>
  <c r="K67" i="10"/>
  <c r="J67" i="10"/>
  <c r="I67" i="10"/>
  <c r="H67" i="10"/>
  <c r="G67" i="10"/>
  <c r="F67" i="10"/>
  <c r="E67" i="10"/>
  <c r="C67" i="10"/>
  <c r="B67" i="10"/>
  <c r="N66" i="10"/>
  <c r="M66" i="10"/>
  <c r="L66" i="10"/>
  <c r="K66" i="10"/>
  <c r="J66" i="10"/>
  <c r="I66" i="10"/>
  <c r="H66" i="10"/>
  <c r="G66" i="10"/>
  <c r="F66" i="10"/>
  <c r="E66" i="10"/>
  <c r="C66" i="10"/>
  <c r="B66" i="10"/>
  <c r="N65" i="10"/>
  <c r="M65" i="10"/>
  <c r="L65" i="10"/>
  <c r="K65" i="10"/>
  <c r="J65" i="10"/>
  <c r="I65" i="10"/>
  <c r="H65" i="10"/>
  <c r="G65" i="10"/>
  <c r="F65" i="10"/>
  <c r="E65" i="10"/>
  <c r="C65" i="10"/>
  <c r="B65" i="10"/>
  <c r="N64" i="10"/>
  <c r="M64" i="10"/>
  <c r="L64" i="10"/>
  <c r="K64" i="10"/>
  <c r="J64" i="10"/>
  <c r="I64" i="10"/>
  <c r="H64" i="10"/>
  <c r="G64" i="10"/>
  <c r="F64" i="10"/>
  <c r="E64" i="10"/>
  <c r="C64" i="10"/>
  <c r="B64" i="10"/>
  <c r="N63" i="10"/>
  <c r="M63" i="10"/>
  <c r="L63" i="10"/>
  <c r="K63" i="10"/>
  <c r="J63" i="10"/>
  <c r="I63" i="10"/>
  <c r="H63" i="10"/>
  <c r="G63" i="10"/>
  <c r="F63" i="10"/>
  <c r="E63" i="10"/>
  <c r="C63" i="10"/>
  <c r="B63" i="10"/>
  <c r="N62" i="10"/>
  <c r="M62" i="10"/>
  <c r="L62" i="10"/>
  <c r="K62" i="10"/>
  <c r="J62" i="10"/>
  <c r="I62" i="10"/>
  <c r="H62" i="10"/>
  <c r="G62" i="10"/>
  <c r="F62" i="10"/>
  <c r="E62" i="10"/>
  <c r="C62" i="10"/>
  <c r="B62" i="10"/>
  <c r="N61" i="10"/>
  <c r="M61" i="10"/>
  <c r="L61" i="10"/>
  <c r="K61" i="10"/>
  <c r="J61" i="10"/>
  <c r="I61" i="10"/>
  <c r="H61" i="10"/>
  <c r="G61" i="10"/>
  <c r="F61" i="10"/>
  <c r="E61" i="10"/>
  <c r="C61" i="10"/>
  <c r="B61" i="10"/>
  <c r="N60" i="10"/>
  <c r="M60" i="10"/>
  <c r="L60" i="10"/>
  <c r="K60" i="10"/>
  <c r="J60" i="10"/>
  <c r="I60" i="10"/>
  <c r="H60" i="10"/>
  <c r="G60" i="10"/>
  <c r="F60" i="10"/>
  <c r="E60" i="10"/>
  <c r="C60" i="10"/>
  <c r="B60" i="10"/>
  <c r="N59" i="10"/>
  <c r="M59" i="10"/>
  <c r="L59" i="10"/>
  <c r="K59" i="10"/>
  <c r="J59" i="10"/>
  <c r="I59" i="10"/>
  <c r="H59" i="10"/>
  <c r="G59" i="10"/>
  <c r="F59" i="10"/>
  <c r="E59" i="10"/>
  <c r="C59" i="10"/>
  <c r="B59" i="10"/>
  <c r="N58" i="10"/>
  <c r="M58" i="10"/>
  <c r="L58" i="10"/>
  <c r="K58" i="10"/>
  <c r="J58" i="10"/>
  <c r="I58" i="10"/>
  <c r="H58" i="10"/>
  <c r="G58" i="10"/>
  <c r="F58" i="10"/>
  <c r="E58" i="10"/>
  <c r="C58" i="10"/>
  <c r="B58" i="10"/>
  <c r="N57" i="10"/>
  <c r="M57" i="10"/>
  <c r="L57" i="10"/>
  <c r="K57" i="10"/>
  <c r="J57" i="10"/>
  <c r="I57" i="10"/>
  <c r="H57" i="10"/>
  <c r="G57" i="10"/>
  <c r="F57" i="10"/>
  <c r="E57" i="10"/>
  <c r="C57" i="10"/>
  <c r="B57" i="10"/>
  <c r="N56" i="10"/>
  <c r="M56" i="10"/>
  <c r="L56" i="10"/>
  <c r="K56" i="10"/>
  <c r="J56" i="10"/>
  <c r="I56" i="10"/>
  <c r="H56" i="10"/>
  <c r="G56" i="10"/>
  <c r="F56" i="10"/>
  <c r="E56" i="10"/>
  <c r="C56" i="10"/>
  <c r="B56" i="10"/>
  <c r="N55" i="10"/>
  <c r="M55" i="10"/>
  <c r="L55" i="10"/>
  <c r="K55" i="10"/>
  <c r="J55" i="10"/>
  <c r="I55" i="10"/>
  <c r="H55" i="10"/>
  <c r="G55" i="10"/>
  <c r="F55" i="10"/>
  <c r="E55" i="10"/>
  <c r="C55" i="10"/>
  <c r="B55" i="10"/>
  <c r="N54" i="10"/>
  <c r="M54" i="10"/>
  <c r="L54" i="10"/>
  <c r="K54" i="10"/>
  <c r="J54" i="10"/>
  <c r="I54" i="10"/>
  <c r="H54" i="10"/>
  <c r="G54" i="10"/>
  <c r="F54" i="10"/>
  <c r="E54" i="10"/>
  <c r="C54" i="10"/>
  <c r="B54" i="10"/>
  <c r="N53" i="10"/>
  <c r="M53" i="10"/>
  <c r="L53" i="10"/>
  <c r="K53" i="10"/>
  <c r="J53" i="10"/>
  <c r="I53" i="10"/>
  <c r="H53" i="10"/>
  <c r="G53" i="10"/>
  <c r="F53" i="10"/>
  <c r="E53" i="10"/>
  <c r="C53" i="10"/>
  <c r="B53" i="10"/>
  <c r="N52" i="10"/>
  <c r="M52" i="10"/>
  <c r="L52" i="10"/>
  <c r="K52" i="10"/>
  <c r="J52" i="10"/>
  <c r="I52" i="10"/>
  <c r="H52" i="10"/>
  <c r="G52" i="10"/>
  <c r="F52" i="10"/>
  <c r="E52" i="10"/>
  <c r="C52" i="10"/>
  <c r="B52" i="10"/>
  <c r="N51" i="10"/>
  <c r="M51" i="10"/>
  <c r="L51" i="10"/>
  <c r="K51" i="10"/>
  <c r="J51" i="10"/>
  <c r="I51" i="10"/>
  <c r="H51" i="10"/>
  <c r="G51" i="10"/>
  <c r="F51" i="10"/>
  <c r="E51" i="10"/>
  <c r="C51" i="10"/>
  <c r="B51" i="10"/>
  <c r="N50" i="10"/>
  <c r="M50" i="10"/>
  <c r="L50" i="10"/>
  <c r="K50" i="10"/>
  <c r="J50" i="10"/>
  <c r="I50" i="10"/>
  <c r="H50" i="10"/>
  <c r="G50" i="10"/>
  <c r="F50" i="10"/>
  <c r="E50" i="10"/>
  <c r="C50" i="10"/>
  <c r="B50" i="10"/>
  <c r="N49" i="10"/>
  <c r="M49" i="10"/>
  <c r="L49" i="10"/>
  <c r="K49" i="10"/>
  <c r="J49" i="10"/>
  <c r="I49" i="10"/>
  <c r="H49" i="10"/>
  <c r="G49" i="10"/>
  <c r="F49" i="10"/>
  <c r="E49" i="10"/>
  <c r="C49" i="10"/>
  <c r="B49" i="10"/>
  <c r="N48" i="10"/>
  <c r="M48" i="10"/>
  <c r="L48" i="10"/>
  <c r="K48" i="10"/>
  <c r="J48" i="10"/>
  <c r="I48" i="10"/>
  <c r="H48" i="10"/>
  <c r="G48" i="10"/>
  <c r="F48" i="10"/>
  <c r="E48" i="10"/>
  <c r="C48" i="10"/>
  <c r="B48" i="10"/>
  <c r="N47" i="10"/>
  <c r="M47" i="10"/>
  <c r="L47" i="10"/>
  <c r="K47" i="10"/>
  <c r="J47" i="10"/>
  <c r="I47" i="10"/>
  <c r="H47" i="10"/>
  <c r="G47" i="10"/>
  <c r="F47" i="10"/>
  <c r="E47" i="10"/>
  <c r="C47" i="10"/>
  <c r="B47" i="10"/>
  <c r="N46" i="10"/>
  <c r="M46" i="10"/>
  <c r="L46" i="10"/>
  <c r="K46" i="10"/>
  <c r="J46" i="10"/>
  <c r="I46" i="10"/>
  <c r="H46" i="10"/>
  <c r="G46" i="10"/>
  <c r="F46" i="10"/>
  <c r="E46" i="10"/>
  <c r="C46" i="10"/>
  <c r="B46" i="10"/>
  <c r="N45" i="10"/>
  <c r="M45" i="10"/>
  <c r="L45" i="10"/>
  <c r="K45" i="10"/>
  <c r="J45" i="10"/>
  <c r="I45" i="10"/>
  <c r="H45" i="10"/>
  <c r="G45" i="10"/>
  <c r="F45" i="10"/>
  <c r="E45" i="10"/>
  <c r="C45" i="10"/>
  <c r="B45" i="10"/>
  <c r="N44" i="10"/>
  <c r="M44" i="10"/>
  <c r="L44" i="10"/>
  <c r="K44" i="10"/>
  <c r="J44" i="10"/>
  <c r="I44" i="10"/>
  <c r="H44" i="10"/>
  <c r="G44" i="10"/>
  <c r="F44" i="10"/>
  <c r="E44" i="10"/>
  <c r="C44" i="10"/>
  <c r="B44" i="10"/>
  <c r="N43" i="10"/>
  <c r="M43" i="10"/>
  <c r="L43" i="10"/>
  <c r="K43" i="10"/>
  <c r="J43" i="10"/>
  <c r="I43" i="10"/>
  <c r="H43" i="10"/>
  <c r="G43" i="10"/>
  <c r="F43" i="10"/>
  <c r="E43" i="10"/>
  <c r="C43" i="10"/>
  <c r="B43" i="10"/>
  <c r="N42" i="10"/>
  <c r="M42" i="10"/>
  <c r="L42" i="10"/>
  <c r="K42" i="10"/>
  <c r="J42" i="10"/>
  <c r="I42" i="10"/>
  <c r="H42" i="10"/>
  <c r="G42" i="10"/>
  <c r="F42" i="10"/>
  <c r="E42" i="10"/>
  <c r="C42" i="10"/>
  <c r="B42" i="10"/>
  <c r="N41" i="10"/>
  <c r="M41" i="10"/>
  <c r="L41" i="10"/>
  <c r="K41" i="10"/>
  <c r="J41" i="10"/>
  <c r="I41" i="10"/>
  <c r="H41" i="10"/>
  <c r="G41" i="10"/>
  <c r="F41" i="10"/>
  <c r="E41" i="10"/>
  <c r="C41" i="10"/>
  <c r="B41" i="10"/>
  <c r="N40" i="10"/>
  <c r="M40" i="10"/>
  <c r="L40" i="10"/>
  <c r="K40" i="10"/>
  <c r="J40" i="10"/>
  <c r="I40" i="10"/>
  <c r="H40" i="10"/>
  <c r="G40" i="10"/>
  <c r="F40" i="10"/>
  <c r="E40" i="10"/>
  <c r="C40" i="10"/>
  <c r="B40" i="10"/>
  <c r="N39" i="10"/>
  <c r="M39" i="10"/>
  <c r="L39" i="10"/>
  <c r="K39" i="10"/>
  <c r="J39" i="10"/>
  <c r="I39" i="10"/>
  <c r="H39" i="10"/>
  <c r="G39" i="10"/>
  <c r="F39" i="10"/>
  <c r="E39" i="10"/>
  <c r="C39" i="10"/>
  <c r="B39" i="10"/>
  <c r="N38" i="10"/>
  <c r="M38" i="10"/>
  <c r="L38" i="10"/>
  <c r="K38" i="10"/>
  <c r="J38" i="10"/>
  <c r="I38" i="10"/>
  <c r="H38" i="10"/>
  <c r="G38" i="10"/>
  <c r="F38" i="10"/>
  <c r="E38" i="10"/>
  <c r="C38" i="10"/>
  <c r="B38" i="10"/>
  <c r="N37" i="10"/>
  <c r="M37" i="10"/>
  <c r="L37" i="10"/>
  <c r="K37" i="10"/>
  <c r="J37" i="10"/>
  <c r="I37" i="10"/>
  <c r="H37" i="10"/>
  <c r="G37" i="10"/>
  <c r="F37" i="10"/>
  <c r="E37" i="10"/>
  <c r="C37" i="10"/>
  <c r="B37" i="10"/>
  <c r="N36" i="10"/>
  <c r="M36" i="10"/>
  <c r="L36" i="10"/>
  <c r="K36" i="10"/>
  <c r="J36" i="10"/>
  <c r="I36" i="10"/>
  <c r="H36" i="10"/>
  <c r="G36" i="10"/>
  <c r="F36" i="10"/>
  <c r="E36" i="10"/>
  <c r="C36" i="10"/>
  <c r="B36" i="10"/>
  <c r="N35" i="10"/>
  <c r="M35" i="10"/>
  <c r="L35" i="10"/>
  <c r="K35" i="10"/>
  <c r="J35" i="10"/>
  <c r="I35" i="10"/>
  <c r="H35" i="10"/>
  <c r="G35" i="10"/>
  <c r="F35" i="10"/>
  <c r="E35" i="10"/>
  <c r="C35" i="10"/>
  <c r="B35" i="10"/>
  <c r="N34" i="10"/>
  <c r="M34" i="10"/>
  <c r="L34" i="10"/>
  <c r="K34" i="10"/>
  <c r="J34" i="10"/>
  <c r="I34" i="10"/>
  <c r="H34" i="10"/>
  <c r="G34" i="10"/>
  <c r="F34" i="10"/>
  <c r="E34" i="10"/>
  <c r="C34" i="10"/>
  <c r="B34" i="10"/>
  <c r="N33" i="10"/>
  <c r="M33" i="10"/>
  <c r="L33" i="10"/>
  <c r="K33" i="10"/>
  <c r="J33" i="10"/>
  <c r="I33" i="10"/>
  <c r="H33" i="10"/>
  <c r="G33" i="10"/>
  <c r="F33" i="10"/>
  <c r="E33" i="10"/>
  <c r="C33" i="10"/>
  <c r="B33" i="10"/>
  <c r="N32" i="10"/>
  <c r="M32" i="10"/>
  <c r="L32" i="10"/>
  <c r="K32" i="10"/>
  <c r="J32" i="10"/>
  <c r="I32" i="10"/>
  <c r="H32" i="10"/>
  <c r="G32" i="10"/>
  <c r="F32" i="10"/>
  <c r="E32" i="10"/>
  <c r="C32" i="10"/>
  <c r="B32" i="10"/>
  <c r="N31" i="10"/>
  <c r="M31" i="10"/>
  <c r="L31" i="10"/>
  <c r="K31" i="10"/>
  <c r="J31" i="10"/>
  <c r="I31" i="10"/>
  <c r="H31" i="10"/>
  <c r="G31" i="10"/>
  <c r="F31" i="10"/>
  <c r="E31" i="10"/>
  <c r="C31" i="10"/>
  <c r="B31" i="10"/>
  <c r="N30" i="10"/>
  <c r="M30" i="10"/>
  <c r="L30" i="10"/>
  <c r="K30" i="10"/>
  <c r="J30" i="10"/>
  <c r="I30" i="10"/>
  <c r="H30" i="10"/>
  <c r="G30" i="10"/>
  <c r="F30" i="10"/>
  <c r="E30" i="10"/>
  <c r="C30" i="10"/>
  <c r="B30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N27" i="10"/>
  <c r="M27" i="10"/>
  <c r="L27" i="10"/>
  <c r="K27" i="10"/>
  <c r="J27" i="10"/>
  <c r="I27" i="10"/>
  <c r="H27" i="10"/>
  <c r="G27" i="10"/>
  <c r="F27" i="10"/>
  <c r="E27" i="10"/>
  <c r="C27" i="10"/>
  <c r="B27" i="10"/>
  <c r="N26" i="10"/>
  <c r="M26" i="10"/>
  <c r="L26" i="10"/>
  <c r="K26" i="10"/>
  <c r="J26" i="10"/>
  <c r="I26" i="10"/>
  <c r="H26" i="10"/>
  <c r="G26" i="10"/>
  <c r="F26" i="10"/>
  <c r="E26" i="10"/>
  <c r="C26" i="10"/>
  <c r="B26" i="10"/>
  <c r="N25" i="10"/>
  <c r="M25" i="10"/>
  <c r="L25" i="10"/>
  <c r="K25" i="10"/>
  <c r="J25" i="10"/>
  <c r="I25" i="10"/>
  <c r="H25" i="10"/>
  <c r="G25" i="10"/>
  <c r="F25" i="10"/>
  <c r="E25" i="10"/>
  <c r="C25" i="10"/>
  <c r="B25" i="10"/>
  <c r="N24" i="10"/>
  <c r="M24" i="10"/>
  <c r="L24" i="10"/>
  <c r="K24" i="10"/>
  <c r="J24" i="10"/>
  <c r="I24" i="10"/>
  <c r="H24" i="10"/>
  <c r="G24" i="10"/>
  <c r="F24" i="10"/>
  <c r="E24" i="10"/>
  <c r="C24" i="10"/>
  <c r="B24" i="10"/>
  <c r="N23" i="10"/>
  <c r="M23" i="10"/>
  <c r="L23" i="10"/>
  <c r="K23" i="10"/>
  <c r="J23" i="10"/>
  <c r="I23" i="10"/>
  <c r="H23" i="10"/>
  <c r="G23" i="10"/>
  <c r="F23" i="10"/>
  <c r="E23" i="10"/>
  <c r="C23" i="10"/>
  <c r="B23" i="10"/>
  <c r="N22" i="10"/>
  <c r="M22" i="10"/>
  <c r="L22" i="10"/>
  <c r="K22" i="10"/>
  <c r="J22" i="10"/>
  <c r="I22" i="10"/>
  <c r="H22" i="10"/>
  <c r="G22" i="10"/>
  <c r="F22" i="10"/>
  <c r="E22" i="10"/>
  <c r="C22" i="10"/>
  <c r="B22" i="10"/>
  <c r="N21" i="10"/>
  <c r="M21" i="10"/>
  <c r="L21" i="10"/>
  <c r="K21" i="10"/>
  <c r="J21" i="10"/>
  <c r="I21" i="10"/>
  <c r="H21" i="10"/>
  <c r="G21" i="10"/>
  <c r="F21" i="10"/>
  <c r="E21" i="10"/>
  <c r="C21" i="10"/>
  <c r="B21" i="10"/>
  <c r="N20" i="10"/>
  <c r="M20" i="10"/>
  <c r="L20" i="10"/>
  <c r="K20" i="10"/>
  <c r="J20" i="10"/>
  <c r="I20" i="10"/>
  <c r="H20" i="10"/>
  <c r="G20" i="10"/>
  <c r="F20" i="10"/>
  <c r="E20" i="10"/>
  <c r="C20" i="10"/>
  <c r="B20" i="10"/>
  <c r="N19" i="10"/>
  <c r="M19" i="10"/>
  <c r="L19" i="10"/>
  <c r="K19" i="10"/>
  <c r="J19" i="10"/>
  <c r="I19" i="10"/>
  <c r="H19" i="10"/>
  <c r="G19" i="10"/>
  <c r="F19" i="10"/>
  <c r="E19" i="10"/>
  <c r="C19" i="10"/>
  <c r="B19" i="10"/>
  <c r="N18" i="10"/>
  <c r="M18" i="10"/>
  <c r="L18" i="10"/>
  <c r="K18" i="10"/>
  <c r="J18" i="10"/>
  <c r="I18" i="10"/>
  <c r="H18" i="10"/>
  <c r="G18" i="10"/>
  <c r="F18" i="10"/>
  <c r="E18" i="10"/>
  <c r="C18" i="10"/>
  <c r="B18" i="10"/>
  <c r="N17" i="10"/>
  <c r="M17" i="10"/>
  <c r="L17" i="10"/>
  <c r="K17" i="10"/>
  <c r="J17" i="10"/>
  <c r="I17" i="10"/>
  <c r="H17" i="10"/>
  <c r="G17" i="10"/>
  <c r="F17" i="10"/>
  <c r="E17" i="10"/>
  <c r="C17" i="10"/>
  <c r="B17" i="10"/>
  <c r="N16" i="10"/>
  <c r="M16" i="10"/>
  <c r="L16" i="10"/>
  <c r="K16" i="10"/>
  <c r="J16" i="10"/>
  <c r="I16" i="10"/>
  <c r="H16" i="10"/>
  <c r="G16" i="10"/>
  <c r="F16" i="10"/>
  <c r="E16" i="10"/>
  <c r="C16" i="10"/>
  <c r="B16" i="10"/>
  <c r="N15" i="10"/>
  <c r="M15" i="10"/>
  <c r="L15" i="10"/>
  <c r="K15" i="10"/>
  <c r="J15" i="10"/>
  <c r="I15" i="10"/>
  <c r="H15" i="10"/>
  <c r="G15" i="10"/>
  <c r="F15" i="10"/>
  <c r="E15" i="10"/>
  <c r="C15" i="10"/>
  <c r="B15" i="10"/>
  <c r="N14" i="10"/>
  <c r="M14" i="10"/>
  <c r="L14" i="10"/>
  <c r="K14" i="10"/>
  <c r="J14" i="10"/>
  <c r="I14" i="10"/>
  <c r="H14" i="10"/>
  <c r="G14" i="10"/>
  <c r="F14" i="10"/>
  <c r="E14" i="10"/>
  <c r="C14" i="10"/>
  <c r="B14" i="10"/>
  <c r="N13" i="10"/>
  <c r="M13" i="10"/>
  <c r="L13" i="10"/>
  <c r="K13" i="10"/>
  <c r="J13" i="10"/>
  <c r="I13" i="10"/>
  <c r="H13" i="10"/>
  <c r="G13" i="10"/>
  <c r="F13" i="10"/>
  <c r="E13" i="10"/>
  <c r="C13" i="10"/>
  <c r="B13" i="10"/>
  <c r="N12" i="10"/>
  <c r="M12" i="10"/>
  <c r="L12" i="10"/>
  <c r="K12" i="10"/>
  <c r="J12" i="10"/>
  <c r="I12" i="10"/>
  <c r="H12" i="10"/>
  <c r="G12" i="10"/>
  <c r="F12" i="10"/>
  <c r="E12" i="10"/>
  <c r="C12" i="10"/>
  <c r="B12" i="10"/>
  <c r="N11" i="10"/>
  <c r="M11" i="10"/>
  <c r="L11" i="10"/>
  <c r="K11" i="10"/>
  <c r="J11" i="10"/>
  <c r="I11" i="10"/>
  <c r="H11" i="10"/>
  <c r="G11" i="10"/>
  <c r="F11" i="10"/>
  <c r="E11" i="10"/>
  <c r="C11" i="10"/>
  <c r="B11" i="10"/>
  <c r="N10" i="10"/>
  <c r="M10" i="10"/>
  <c r="L10" i="10"/>
  <c r="K10" i="10"/>
  <c r="J10" i="10"/>
  <c r="I10" i="10"/>
  <c r="H10" i="10"/>
  <c r="G10" i="10"/>
  <c r="F10" i="10"/>
  <c r="E10" i="10"/>
  <c r="C10" i="10"/>
  <c r="B10" i="10"/>
  <c r="N9" i="10"/>
  <c r="M9" i="10"/>
  <c r="L9" i="10"/>
  <c r="K9" i="10"/>
  <c r="J9" i="10"/>
  <c r="I9" i="10"/>
  <c r="H9" i="10"/>
  <c r="G9" i="10"/>
  <c r="F9" i="10"/>
  <c r="E9" i="10"/>
  <c r="C9" i="10"/>
  <c r="B9" i="10"/>
  <c r="N8" i="10"/>
  <c r="M8" i="10"/>
  <c r="L8" i="10"/>
  <c r="K8" i="10"/>
  <c r="J8" i="10"/>
  <c r="I8" i="10"/>
  <c r="H8" i="10"/>
  <c r="G8" i="10"/>
  <c r="F8" i="10"/>
  <c r="E8" i="10"/>
  <c r="C8" i="10"/>
  <c r="B8" i="10"/>
  <c r="N7" i="10"/>
  <c r="M7" i="10"/>
  <c r="L7" i="10"/>
  <c r="K7" i="10"/>
  <c r="J7" i="10"/>
  <c r="I7" i="10"/>
  <c r="H7" i="10"/>
  <c r="G7" i="10"/>
  <c r="F7" i="10"/>
  <c r="E7" i="10"/>
  <c r="C7" i="10"/>
  <c r="B7" i="10"/>
  <c r="N6" i="10"/>
  <c r="M6" i="10"/>
  <c r="L6" i="10"/>
  <c r="K6" i="10"/>
  <c r="J6" i="10"/>
  <c r="I6" i="10"/>
  <c r="H6" i="10"/>
  <c r="G6" i="10"/>
  <c r="F6" i="10"/>
  <c r="E6" i="10"/>
  <c r="C6" i="10"/>
  <c r="B6" i="10"/>
  <c r="N5" i="10"/>
  <c r="M5" i="10"/>
  <c r="L5" i="10"/>
  <c r="K5" i="10"/>
  <c r="J5" i="10"/>
  <c r="I5" i="10"/>
  <c r="H5" i="10"/>
  <c r="G5" i="10"/>
  <c r="F5" i="10"/>
  <c r="E5" i="10"/>
  <c r="C5" i="10"/>
  <c r="B5" i="10"/>
  <c r="N4" i="10"/>
  <c r="M4" i="10"/>
  <c r="L4" i="10"/>
  <c r="K4" i="10"/>
  <c r="J4" i="10"/>
  <c r="I4" i="10"/>
  <c r="H4" i="10"/>
  <c r="G4" i="10"/>
  <c r="F4" i="10"/>
  <c r="E4" i="10"/>
  <c r="C4" i="10"/>
  <c r="B4" i="10"/>
  <c r="N3" i="10"/>
  <c r="M3" i="10"/>
  <c r="L3" i="10"/>
  <c r="K3" i="10"/>
  <c r="J3" i="10"/>
  <c r="I3" i="10"/>
  <c r="H3" i="10"/>
  <c r="G3" i="10"/>
  <c r="F3" i="10"/>
  <c r="E3" i="10"/>
  <c r="C3" i="10"/>
  <c r="B3" i="10"/>
  <c r="N2" i="10"/>
  <c r="M2" i="10"/>
  <c r="L2" i="10"/>
  <c r="K2" i="10"/>
  <c r="J2" i="10"/>
  <c r="I2" i="10"/>
  <c r="H2" i="10"/>
  <c r="G2" i="10"/>
  <c r="F2" i="10"/>
  <c r="E2" i="10"/>
  <c r="C2" i="10"/>
  <c r="B2" i="10"/>
  <c r="D3" i="9"/>
  <c r="N3" i="9" s="1"/>
  <c r="E3" i="9"/>
  <c r="F3" i="9"/>
  <c r="G3" i="9"/>
  <c r="I3" i="9"/>
  <c r="J3" i="9"/>
  <c r="K3" i="9"/>
  <c r="D4" i="9"/>
  <c r="N4" i="9" s="1"/>
  <c r="E4" i="9"/>
  <c r="F4" i="9"/>
  <c r="G4" i="9"/>
  <c r="I4" i="9"/>
  <c r="J4" i="9"/>
  <c r="K4" i="9"/>
  <c r="D5" i="9"/>
  <c r="N5" i="9" s="1"/>
  <c r="E5" i="9"/>
  <c r="F5" i="9"/>
  <c r="G5" i="9"/>
  <c r="I5" i="9"/>
  <c r="J5" i="9"/>
  <c r="K5" i="9"/>
  <c r="D6" i="9"/>
  <c r="N6" i="9" s="1"/>
  <c r="E6" i="9"/>
  <c r="F6" i="9"/>
  <c r="G6" i="9"/>
  <c r="I6" i="9"/>
  <c r="J6" i="9"/>
  <c r="K6" i="9"/>
  <c r="D7" i="9"/>
  <c r="N7" i="9" s="1"/>
  <c r="E7" i="9"/>
  <c r="F7" i="9"/>
  <c r="G7" i="9"/>
  <c r="I7" i="9"/>
  <c r="J7" i="9"/>
  <c r="K7" i="9"/>
  <c r="D8" i="9"/>
  <c r="N8" i="9" s="1"/>
  <c r="E8" i="9"/>
  <c r="F8" i="9"/>
  <c r="G8" i="9"/>
  <c r="I8" i="9"/>
  <c r="J8" i="9"/>
  <c r="K8" i="9"/>
  <c r="D9" i="9"/>
  <c r="N9" i="9" s="1"/>
  <c r="E9" i="9"/>
  <c r="F9" i="9"/>
  <c r="G9" i="9"/>
  <c r="I9" i="9"/>
  <c r="J9" i="9"/>
  <c r="K9" i="9"/>
  <c r="D10" i="9"/>
  <c r="N10" i="9" s="1"/>
  <c r="E10" i="9"/>
  <c r="F10" i="9"/>
  <c r="G10" i="9"/>
  <c r="I10" i="9"/>
  <c r="J10" i="9"/>
  <c r="K10" i="9"/>
  <c r="D11" i="9"/>
  <c r="N11" i="9" s="1"/>
  <c r="E11" i="9"/>
  <c r="F11" i="9"/>
  <c r="G11" i="9"/>
  <c r="I11" i="9"/>
  <c r="J11" i="9"/>
  <c r="K11" i="9"/>
  <c r="D12" i="9"/>
  <c r="N12" i="9" s="1"/>
  <c r="E12" i="9"/>
  <c r="F12" i="9"/>
  <c r="G12" i="9"/>
  <c r="I12" i="9"/>
  <c r="J12" i="9"/>
  <c r="K12" i="9"/>
  <c r="D13" i="9"/>
  <c r="N13" i="9" s="1"/>
  <c r="E13" i="9"/>
  <c r="F13" i="9"/>
  <c r="G13" i="9"/>
  <c r="I13" i="9"/>
  <c r="J13" i="9"/>
  <c r="K13" i="9"/>
  <c r="D14" i="9"/>
  <c r="N14" i="9" s="1"/>
  <c r="E14" i="9"/>
  <c r="F14" i="9"/>
  <c r="G14" i="9"/>
  <c r="I14" i="9"/>
  <c r="J14" i="9"/>
  <c r="K14" i="9"/>
  <c r="D15" i="9"/>
  <c r="N15" i="9" s="1"/>
  <c r="E15" i="9"/>
  <c r="F15" i="9"/>
  <c r="G15" i="9"/>
  <c r="I15" i="9"/>
  <c r="J15" i="9"/>
  <c r="K15" i="9"/>
  <c r="D16" i="9"/>
  <c r="N16" i="9" s="1"/>
  <c r="E16" i="9"/>
  <c r="F16" i="9"/>
  <c r="G16" i="9"/>
  <c r="I16" i="9"/>
  <c r="J16" i="9"/>
  <c r="K16" i="9"/>
  <c r="D17" i="9"/>
  <c r="N17" i="9" s="1"/>
  <c r="E17" i="9"/>
  <c r="F17" i="9"/>
  <c r="G17" i="9"/>
  <c r="I17" i="9"/>
  <c r="J17" i="9"/>
  <c r="K17" i="9"/>
  <c r="D18" i="9"/>
  <c r="N18" i="9" s="1"/>
  <c r="E18" i="9"/>
  <c r="F18" i="9"/>
  <c r="G18" i="9"/>
  <c r="I18" i="9"/>
  <c r="J18" i="9"/>
  <c r="K18" i="9"/>
  <c r="D19" i="9"/>
  <c r="N19" i="9" s="1"/>
  <c r="E19" i="9"/>
  <c r="F19" i="9"/>
  <c r="G19" i="9"/>
  <c r="I19" i="9"/>
  <c r="J19" i="9"/>
  <c r="K19" i="9"/>
  <c r="D20" i="9"/>
  <c r="N20" i="9" s="1"/>
  <c r="E20" i="9"/>
  <c r="F20" i="9"/>
  <c r="G20" i="9"/>
  <c r="I20" i="9"/>
  <c r="J20" i="9"/>
  <c r="K20" i="9"/>
  <c r="D21" i="9"/>
  <c r="N21" i="9" s="1"/>
  <c r="E21" i="9"/>
  <c r="F21" i="9"/>
  <c r="G21" i="9"/>
  <c r="I21" i="9"/>
  <c r="J21" i="9"/>
  <c r="K21" i="9"/>
  <c r="D22" i="9"/>
  <c r="N22" i="9" s="1"/>
  <c r="E22" i="9"/>
  <c r="F22" i="9"/>
  <c r="G22" i="9"/>
  <c r="I22" i="9"/>
  <c r="J22" i="9"/>
  <c r="K22" i="9"/>
  <c r="D23" i="9"/>
  <c r="N23" i="9" s="1"/>
  <c r="E23" i="9"/>
  <c r="F23" i="9"/>
  <c r="G23" i="9"/>
  <c r="M23" i="9" s="1"/>
  <c r="I23" i="9"/>
  <c r="J23" i="9"/>
  <c r="K23" i="9"/>
  <c r="D24" i="9"/>
  <c r="N24" i="9" s="1"/>
  <c r="E24" i="9"/>
  <c r="F24" i="9"/>
  <c r="G24" i="9"/>
  <c r="I24" i="9"/>
  <c r="J24" i="9"/>
  <c r="K24" i="9"/>
  <c r="D25" i="9"/>
  <c r="N25" i="9" s="1"/>
  <c r="E25" i="9"/>
  <c r="F25" i="9"/>
  <c r="G25" i="9"/>
  <c r="I25" i="9"/>
  <c r="J25" i="9"/>
  <c r="K25" i="9"/>
  <c r="D26" i="9"/>
  <c r="N26" i="9" s="1"/>
  <c r="E26" i="9"/>
  <c r="F26" i="9"/>
  <c r="G26" i="9"/>
  <c r="I26" i="9"/>
  <c r="J26" i="9"/>
  <c r="K26" i="9"/>
  <c r="D27" i="9"/>
  <c r="N27" i="9" s="1"/>
  <c r="E27" i="9"/>
  <c r="F27" i="9"/>
  <c r="G27" i="9"/>
  <c r="I27" i="9"/>
  <c r="J27" i="9"/>
  <c r="K27" i="9"/>
  <c r="D28" i="9"/>
  <c r="N28" i="9" s="1"/>
  <c r="E28" i="9"/>
  <c r="F28" i="9"/>
  <c r="G28" i="9"/>
  <c r="I28" i="9"/>
  <c r="J28" i="9"/>
  <c r="K28" i="9"/>
  <c r="D29" i="9"/>
  <c r="N29" i="9" s="1"/>
  <c r="E29" i="9"/>
  <c r="F29" i="9"/>
  <c r="G29" i="9"/>
  <c r="I29" i="9"/>
  <c r="J29" i="9"/>
  <c r="K29" i="9"/>
  <c r="D30" i="9"/>
  <c r="N30" i="9" s="1"/>
  <c r="E30" i="9"/>
  <c r="F30" i="9"/>
  <c r="G30" i="9"/>
  <c r="I30" i="9"/>
  <c r="J30" i="9"/>
  <c r="K30" i="9"/>
  <c r="D31" i="9"/>
  <c r="N31" i="9" s="1"/>
  <c r="E31" i="9"/>
  <c r="F31" i="9"/>
  <c r="G31" i="9"/>
  <c r="I31" i="9"/>
  <c r="J31" i="9"/>
  <c r="K31" i="9"/>
  <c r="D32" i="9"/>
  <c r="N32" i="9" s="1"/>
  <c r="E32" i="9"/>
  <c r="F32" i="9"/>
  <c r="G32" i="9"/>
  <c r="I32" i="9"/>
  <c r="J32" i="9"/>
  <c r="K32" i="9"/>
  <c r="D33" i="9"/>
  <c r="N33" i="9" s="1"/>
  <c r="E33" i="9"/>
  <c r="F33" i="9"/>
  <c r="G33" i="9"/>
  <c r="I33" i="9"/>
  <c r="J33" i="9"/>
  <c r="K33" i="9"/>
  <c r="D34" i="9"/>
  <c r="N34" i="9" s="1"/>
  <c r="E34" i="9"/>
  <c r="F34" i="9"/>
  <c r="G34" i="9"/>
  <c r="I34" i="9"/>
  <c r="J34" i="9"/>
  <c r="K34" i="9"/>
  <c r="D35" i="9"/>
  <c r="N35" i="9" s="1"/>
  <c r="E35" i="9"/>
  <c r="F35" i="9"/>
  <c r="G35" i="9"/>
  <c r="I35" i="9"/>
  <c r="J35" i="9"/>
  <c r="K35" i="9"/>
  <c r="D36" i="9"/>
  <c r="N36" i="9" s="1"/>
  <c r="E36" i="9"/>
  <c r="F36" i="9"/>
  <c r="G36" i="9"/>
  <c r="I36" i="9"/>
  <c r="J36" i="9"/>
  <c r="K36" i="9"/>
  <c r="D37" i="9"/>
  <c r="N37" i="9" s="1"/>
  <c r="E37" i="9"/>
  <c r="F37" i="9"/>
  <c r="G37" i="9"/>
  <c r="I37" i="9"/>
  <c r="J37" i="9"/>
  <c r="K37" i="9"/>
  <c r="D38" i="9"/>
  <c r="N38" i="9" s="1"/>
  <c r="E38" i="9"/>
  <c r="F38" i="9"/>
  <c r="G38" i="9"/>
  <c r="I38" i="9"/>
  <c r="J38" i="9"/>
  <c r="K38" i="9"/>
  <c r="D39" i="9"/>
  <c r="N39" i="9" s="1"/>
  <c r="E39" i="9"/>
  <c r="F39" i="9"/>
  <c r="G39" i="9"/>
  <c r="M39" i="9" s="1"/>
  <c r="I39" i="9"/>
  <c r="J39" i="9"/>
  <c r="K39" i="9"/>
  <c r="D40" i="9"/>
  <c r="N40" i="9" s="1"/>
  <c r="E40" i="9"/>
  <c r="F40" i="9"/>
  <c r="G40" i="9"/>
  <c r="I40" i="9"/>
  <c r="J40" i="9"/>
  <c r="K40" i="9"/>
  <c r="D41" i="9"/>
  <c r="N41" i="9" s="1"/>
  <c r="E41" i="9"/>
  <c r="F41" i="9"/>
  <c r="G41" i="9"/>
  <c r="I41" i="9"/>
  <c r="J41" i="9"/>
  <c r="K41" i="9"/>
  <c r="D42" i="9"/>
  <c r="N42" i="9" s="1"/>
  <c r="E42" i="9"/>
  <c r="F42" i="9"/>
  <c r="G42" i="9"/>
  <c r="I42" i="9"/>
  <c r="J42" i="9"/>
  <c r="K42" i="9"/>
  <c r="D43" i="9"/>
  <c r="N43" i="9" s="1"/>
  <c r="E43" i="9"/>
  <c r="F43" i="9"/>
  <c r="G43" i="9"/>
  <c r="I43" i="9"/>
  <c r="J43" i="9"/>
  <c r="K43" i="9"/>
  <c r="D44" i="9"/>
  <c r="N44" i="9" s="1"/>
  <c r="E44" i="9"/>
  <c r="F44" i="9"/>
  <c r="G44" i="9"/>
  <c r="I44" i="9"/>
  <c r="J44" i="9"/>
  <c r="K44" i="9"/>
  <c r="D45" i="9"/>
  <c r="N45" i="9" s="1"/>
  <c r="E45" i="9"/>
  <c r="F45" i="9"/>
  <c r="G45" i="9"/>
  <c r="I45" i="9"/>
  <c r="J45" i="9"/>
  <c r="K45" i="9"/>
  <c r="D46" i="9"/>
  <c r="N46" i="9" s="1"/>
  <c r="E46" i="9"/>
  <c r="F46" i="9"/>
  <c r="G46" i="9"/>
  <c r="I46" i="9"/>
  <c r="J46" i="9"/>
  <c r="K46" i="9"/>
  <c r="D47" i="9"/>
  <c r="N47" i="9" s="1"/>
  <c r="E47" i="9"/>
  <c r="F47" i="9"/>
  <c r="G47" i="9"/>
  <c r="I47" i="9"/>
  <c r="J47" i="9"/>
  <c r="K47" i="9"/>
  <c r="D48" i="9"/>
  <c r="N48" i="9" s="1"/>
  <c r="E48" i="9"/>
  <c r="F48" i="9"/>
  <c r="G48" i="9"/>
  <c r="I48" i="9"/>
  <c r="J48" i="9"/>
  <c r="K48" i="9"/>
  <c r="D49" i="9"/>
  <c r="N49" i="9" s="1"/>
  <c r="E49" i="9"/>
  <c r="F49" i="9"/>
  <c r="G49" i="9"/>
  <c r="I49" i="9"/>
  <c r="J49" i="9"/>
  <c r="K49" i="9"/>
  <c r="D50" i="9"/>
  <c r="N50" i="9" s="1"/>
  <c r="E50" i="9"/>
  <c r="F50" i="9"/>
  <c r="G50" i="9"/>
  <c r="I50" i="9"/>
  <c r="J50" i="9"/>
  <c r="K50" i="9"/>
  <c r="D51" i="9"/>
  <c r="N51" i="9" s="1"/>
  <c r="E51" i="9"/>
  <c r="F51" i="9"/>
  <c r="G51" i="9"/>
  <c r="I51" i="9"/>
  <c r="J51" i="9"/>
  <c r="K51" i="9"/>
  <c r="D52" i="9"/>
  <c r="N52" i="9" s="1"/>
  <c r="E52" i="9"/>
  <c r="F52" i="9"/>
  <c r="G52" i="9"/>
  <c r="I52" i="9"/>
  <c r="J52" i="9"/>
  <c r="K52" i="9"/>
  <c r="D53" i="9"/>
  <c r="N53" i="9" s="1"/>
  <c r="E53" i="9"/>
  <c r="F53" i="9"/>
  <c r="G53" i="9"/>
  <c r="I53" i="9"/>
  <c r="J53" i="9"/>
  <c r="K53" i="9"/>
  <c r="D54" i="9"/>
  <c r="N54" i="9" s="1"/>
  <c r="E54" i="9"/>
  <c r="F54" i="9"/>
  <c r="G54" i="9"/>
  <c r="I54" i="9"/>
  <c r="J54" i="9"/>
  <c r="K54" i="9"/>
  <c r="D55" i="9"/>
  <c r="N55" i="9" s="1"/>
  <c r="E55" i="9"/>
  <c r="F55" i="9"/>
  <c r="G55" i="9"/>
  <c r="M55" i="9" s="1"/>
  <c r="I55" i="9"/>
  <c r="J55" i="9"/>
  <c r="K55" i="9"/>
  <c r="D56" i="9"/>
  <c r="N56" i="9" s="1"/>
  <c r="E56" i="9"/>
  <c r="F56" i="9"/>
  <c r="G56" i="9"/>
  <c r="I56" i="9"/>
  <c r="J56" i="9"/>
  <c r="K56" i="9"/>
  <c r="D57" i="9"/>
  <c r="N57" i="9" s="1"/>
  <c r="E57" i="9"/>
  <c r="F57" i="9"/>
  <c r="G57" i="9"/>
  <c r="I57" i="9"/>
  <c r="J57" i="9"/>
  <c r="K57" i="9"/>
  <c r="D58" i="9"/>
  <c r="N58" i="9" s="1"/>
  <c r="E58" i="9"/>
  <c r="F58" i="9"/>
  <c r="G58" i="9"/>
  <c r="I58" i="9"/>
  <c r="J58" i="9"/>
  <c r="K58" i="9"/>
  <c r="D59" i="9"/>
  <c r="N59" i="9" s="1"/>
  <c r="E59" i="9"/>
  <c r="F59" i="9"/>
  <c r="G59" i="9"/>
  <c r="I59" i="9"/>
  <c r="J59" i="9"/>
  <c r="K59" i="9"/>
  <c r="D60" i="9"/>
  <c r="N60" i="9" s="1"/>
  <c r="E60" i="9"/>
  <c r="F60" i="9"/>
  <c r="G60" i="9"/>
  <c r="I60" i="9"/>
  <c r="J60" i="9"/>
  <c r="K60" i="9"/>
  <c r="D61" i="9"/>
  <c r="N61" i="9" s="1"/>
  <c r="E61" i="9"/>
  <c r="F61" i="9"/>
  <c r="G61" i="9"/>
  <c r="I61" i="9"/>
  <c r="J61" i="9"/>
  <c r="K61" i="9"/>
  <c r="D62" i="9"/>
  <c r="N62" i="9" s="1"/>
  <c r="E62" i="9"/>
  <c r="F62" i="9"/>
  <c r="G62" i="9"/>
  <c r="I62" i="9"/>
  <c r="J62" i="9"/>
  <c r="K62" i="9"/>
  <c r="D63" i="9"/>
  <c r="N63" i="9" s="1"/>
  <c r="E63" i="9"/>
  <c r="F63" i="9"/>
  <c r="G63" i="9"/>
  <c r="I63" i="9"/>
  <c r="J63" i="9"/>
  <c r="K63" i="9"/>
  <c r="D64" i="9"/>
  <c r="N64" i="9" s="1"/>
  <c r="E64" i="9"/>
  <c r="F64" i="9"/>
  <c r="G64" i="9"/>
  <c r="I64" i="9"/>
  <c r="J64" i="9"/>
  <c r="K64" i="9"/>
  <c r="D65" i="9"/>
  <c r="N65" i="9" s="1"/>
  <c r="E65" i="9"/>
  <c r="F65" i="9"/>
  <c r="G65" i="9"/>
  <c r="I65" i="9"/>
  <c r="J65" i="9"/>
  <c r="K65" i="9"/>
  <c r="D66" i="9"/>
  <c r="N66" i="9" s="1"/>
  <c r="E66" i="9"/>
  <c r="F66" i="9"/>
  <c r="G66" i="9"/>
  <c r="I66" i="9"/>
  <c r="J66" i="9"/>
  <c r="K66" i="9"/>
  <c r="D67" i="9"/>
  <c r="N67" i="9" s="1"/>
  <c r="E67" i="9"/>
  <c r="F67" i="9"/>
  <c r="G67" i="9"/>
  <c r="I67" i="9"/>
  <c r="J67" i="9"/>
  <c r="K67" i="9"/>
  <c r="D68" i="9"/>
  <c r="N68" i="9" s="1"/>
  <c r="E68" i="9"/>
  <c r="F68" i="9"/>
  <c r="G68" i="9"/>
  <c r="I68" i="9"/>
  <c r="J68" i="9"/>
  <c r="K68" i="9"/>
  <c r="D69" i="9"/>
  <c r="N69" i="9" s="1"/>
  <c r="E69" i="9"/>
  <c r="F69" i="9"/>
  <c r="G69" i="9"/>
  <c r="I69" i="9"/>
  <c r="J69" i="9"/>
  <c r="K69" i="9"/>
  <c r="D70" i="9"/>
  <c r="N70" i="9" s="1"/>
  <c r="E70" i="9"/>
  <c r="F70" i="9"/>
  <c r="G70" i="9"/>
  <c r="I70" i="9"/>
  <c r="J70" i="9"/>
  <c r="K70" i="9"/>
  <c r="D71" i="9"/>
  <c r="N71" i="9" s="1"/>
  <c r="E71" i="9"/>
  <c r="F71" i="9"/>
  <c r="G71" i="9"/>
  <c r="M71" i="9" s="1"/>
  <c r="I71" i="9"/>
  <c r="K71" i="9"/>
  <c r="D72" i="9"/>
  <c r="N72" i="9" s="1"/>
  <c r="E72" i="9"/>
  <c r="F72" i="9"/>
  <c r="G72" i="9"/>
  <c r="I72" i="9"/>
  <c r="J72" i="9"/>
  <c r="K72" i="9"/>
  <c r="D73" i="9"/>
  <c r="N73" i="9" s="1"/>
  <c r="E73" i="9"/>
  <c r="F73" i="9"/>
  <c r="G73" i="9"/>
  <c r="I73" i="9"/>
  <c r="J73" i="9"/>
  <c r="K73" i="9"/>
  <c r="D74" i="9"/>
  <c r="N74" i="9" s="1"/>
  <c r="E74" i="9"/>
  <c r="F74" i="9"/>
  <c r="G74" i="9"/>
  <c r="I74" i="9"/>
  <c r="J74" i="9"/>
  <c r="K74" i="9"/>
  <c r="D75" i="9"/>
  <c r="N75" i="9" s="1"/>
  <c r="E75" i="9"/>
  <c r="F75" i="9"/>
  <c r="G75" i="9"/>
  <c r="I75" i="9"/>
  <c r="J75" i="9"/>
  <c r="K75" i="9"/>
  <c r="D76" i="9"/>
  <c r="N76" i="9" s="1"/>
  <c r="E76" i="9"/>
  <c r="N77" i="9"/>
  <c r="N78" i="9"/>
  <c r="L78" i="9"/>
  <c r="M78" i="9"/>
  <c r="N79" i="9"/>
  <c r="L79" i="9"/>
  <c r="M79" i="9"/>
  <c r="N80" i="9"/>
  <c r="L80" i="9"/>
  <c r="M80" i="9"/>
  <c r="N81" i="9"/>
  <c r="L81" i="9"/>
  <c r="M81" i="9"/>
  <c r="N82" i="9"/>
  <c r="F82" i="9"/>
  <c r="L82" i="9" s="1"/>
  <c r="G82" i="9"/>
  <c r="I82" i="9"/>
  <c r="K82" i="9"/>
  <c r="N83" i="9"/>
  <c r="E83" i="9"/>
  <c r="F83" i="9"/>
  <c r="G83" i="9"/>
  <c r="I83" i="9"/>
  <c r="K83" i="9"/>
  <c r="N84" i="9"/>
  <c r="E84" i="9"/>
  <c r="F84" i="9"/>
  <c r="G84" i="9"/>
  <c r="I84" i="9"/>
  <c r="K84" i="9"/>
  <c r="N85" i="9"/>
  <c r="E85" i="9"/>
  <c r="F85" i="9"/>
  <c r="G85" i="9"/>
  <c r="I85" i="9"/>
  <c r="K85" i="9"/>
  <c r="N86" i="9"/>
  <c r="E86" i="9"/>
  <c r="F86" i="9"/>
  <c r="G86" i="9"/>
  <c r="I86" i="9"/>
  <c r="K86" i="9"/>
  <c r="N87" i="9"/>
  <c r="E87" i="9"/>
  <c r="F87" i="9"/>
  <c r="G87" i="9"/>
  <c r="I87" i="9"/>
  <c r="K87" i="9"/>
  <c r="N88" i="9"/>
  <c r="E88" i="9"/>
  <c r="F88" i="9"/>
  <c r="G88" i="9"/>
  <c r="I88" i="9"/>
  <c r="K88" i="9"/>
  <c r="N89" i="9"/>
  <c r="E89" i="9"/>
  <c r="F89" i="9"/>
  <c r="G89" i="9"/>
  <c r="I89" i="9"/>
  <c r="K89" i="9"/>
  <c r="N90" i="9"/>
  <c r="E90" i="9"/>
  <c r="F90" i="9"/>
  <c r="G90" i="9"/>
  <c r="I90" i="9"/>
  <c r="K90" i="9"/>
  <c r="N91" i="9"/>
  <c r="E91" i="9"/>
  <c r="F91" i="9"/>
  <c r="G91" i="9"/>
  <c r="I91" i="9"/>
  <c r="K91" i="9"/>
  <c r="N92" i="9"/>
  <c r="E92" i="9"/>
  <c r="F92" i="9"/>
  <c r="G92" i="9"/>
  <c r="I92" i="9"/>
  <c r="J92" i="9"/>
  <c r="K92" i="9"/>
  <c r="N93" i="9"/>
  <c r="E93" i="9"/>
  <c r="F93" i="9"/>
  <c r="G93" i="9"/>
  <c r="I93" i="9"/>
  <c r="J93" i="9"/>
  <c r="K93" i="9"/>
  <c r="N94" i="9"/>
  <c r="E94" i="9"/>
  <c r="F94" i="9"/>
  <c r="G94" i="9"/>
  <c r="I94" i="9"/>
  <c r="J94" i="9"/>
  <c r="K94" i="9"/>
  <c r="N95" i="9"/>
  <c r="E95" i="9"/>
  <c r="F95" i="9"/>
  <c r="G95" i="9"/>
  <c r="I95" i="9"/>
  <c r="J95" i="9"/>
  <c r="K95" i="9"/>
  <c r="N96" i="9"/>
  <c r="E96" i="9"/>
  <c r="F96" i="9"/>
  <c r="G96" i="9"/>
  <c r="M96" i="9" s="1"/>
  <c r="I96" i="9"/>
  <c r="J96" i="9"/>
  <c r="K96" i="9"/>
  <c r="N97" i="9"/>
  <c r="E97" i="9"/>
  <c r="F97" i="9"/>
  <c r="G97" i="9"/>
  <c r="I97" i="9"/>
  <c r="J97" i="9"/>
  <c r="K97" i="9"/>
  <c r="N98" i="9"/>
  <c r="E98" i="9"/>
  <c r="F98" i="9"/>
  <c r="G98" i="9"/>
  <c r="M98" i="9" s="1"/>
  <c r="I98" i="9"/>
  <c r="J98" i="9"/>
  <c r="K98" i="9"/>
  <c r="D99" i="9"/>
  <c r="N99" i="9" s="1"/>
  <c r="E99" i="9"/>
  <c r="F99" i="9"/>
  <c r="G99" i="9"/>
  <c r="I99" i="9"/>
  <c r="J99" i="9"/>
  <c r="K99" i="9"/>
  <c r="D100" i="9"/>
  <c r="N100" i="9" s="1"/>
  <c r="E100" i="9"/>
  <c r="F100" i="9"/>
  <c r="G100" i="9"/>
  <c r="I100" i="9"/>
  <c r="J100" i="9"/>
  <c r="K100" i="9"/>
  <c r="D101" i="9"/>
  <c r="N101" i="9" s="1"/>
  <c r="E101" i="9"/>
  <c r="F101" i="9"/>
  <c r="G101" i="9"/>
  <c r="I101" i="9"/>
  <c r="J101" i="9"/>
  <c r="K101" i="9"/>
  <c r="N102" i="9"/>
  <c r="E102" i="9"/>
  <c r="F102" i="9"/>
  <c r="G102" i="9"/>
  <c r="I102" i="9"/>
  <c r="J102" i="9"/>
  <c r="K102" i="9"/>
  <c r="D103" i="9"/>
  <c r="N103" i="9" s="1"/>
  <c r="E103" i="9"/>
  <c r="F103" i="9"/>
  <c r="G103" i="9"/>
  <c r="I103" i="9"/>
  <c r="J103" i="9"/>
  <c r="K103" i="9"/>
  <c r="D104" i="9"/>
  <c r="N104" i="9" s="1"/>
  <c r="E104" i="9"/>
  <c r="F104" i="9"/>
  <c r="G104" i="9"/>
  <c r="I104" i="9"/>
  <c r="J104" i="9"/>
  <c r="K104" i="9"/>
  <c r="D105" i="9"/>
  <c r="N105" i="9" s="1"/>
  <c r="E105" i="9"/>
  <c r="F105" i="9"/>
  <c r="G105" i="9"/>
  <c r="I105" i="9"/>
  <c r="J105" i="9"/>
  <c r="K105" i="9"/>
  <c r="D106" i="9"/>
  <c r="N106" i="9" s="1"/>
  <c r="E106" i="9"/>
  <c r="F106" i="9"/>
  <c r="G106" i="9"/>
  <c r="I106" i="9"/>
  <c r="J106" i="9"/>
  <c r="K106" i="9"/>
  <c r="D107" i="9"/>
  <c r="N107" i="9" s="1"/>
  <c r="E107" i="9"/>
  <c r="F107" i="9"/>
  <c r="G107" i="9"/>
  <c r="I107" i="9"/>
  <c r="J107" i="9"/>
  <c r="K107" i="9"/>
  <c r="D108" i="9"/>
  <c r="N108" i="9" s="1"/>
  <c r="E108" i="9"/>
  <c r="F108" i="9"/>
  <c r="G108" i="9"/>
  <c r="I108" i="9"/>
  <c r="J108" i="9"/>
  <c r="K108" i="9"/>
  <c r="D109" i="9"/>
  <c r="N109" i="9" s="1"/>
  <c r="E109" i="9"/>
  <c r="F109" i="9"/>
  <c r="G109" i="9"/>
  <c r="I109" i="9"/>
  <c r="J109" i="9"/>
  <c r="K109" i="9"/>
  <c r="D110" i="9"/>
  <c r="N110" i="9" s="1"/>
  <c r="E110" i="9"/>
  <c r="F110" i="9"/>
  <c r="G110" i="9"/>
  <c r="M110" i="9" s="1"/>
  <c r="I110" i="9"/>
  <c r="J110" i="9"/>
  <c r="K110" i="9"/>
  <c r="D111" i="9"/>
  <c r="N111" i="9" s="1"/>
  <c r="E111" i="9"/>
  <c r="F111" i="9"/>
  <c r="G111" i="9"/>
  <c r="I111" i="9"/>
  <c r="J111" i="9"/>
  <c r="K111" i="9"/>
  <c r="D112" i="9"/>
  <c r="N112" i="9" s="1"/>
  <c r="E112" i="9"/>
  <c r="F112" i="9"/>
  <c r="G112" i="9"/>
  <c r="I112" i="9"/>
  <c r="J112" i="9"/>
  <c r="K112" i="9"/>
  <c r="D113" i="9"/>
  <c r="N113" i="9" s="1"/>
  <c r="E113" i="9"/>
  <c r="F113" i="9"/>
  <c r="G113" i="9"/>
  <c r="I113" i="9"/>
  <c r="J113" i="9"/>
  <c r="K113" i="9"/>
  <c r="D114" i="9"/>
  <c r="N114" i="9" s="1"/>
  <c r="E114" i="9"/>
  <c r="F114" i="9"/>
  <c r="G114" i="9"/>
  <c r="I114" i="9"/>
  <c r="J114" i="9"/>
  <c r="K114" i="9"/>
  <c r="E2" i="9"/>
  <c r="F2" i="9"/>
  <c r="G2" i="9"/>
  <c r="I2" i="9"/>
  <c r="J2" i="9"/>
  <c r="D2" i="9"/>
  <c r="N2" i="9" s="1"/>
  <c r="M111" i="9" l="1"/>
  <c r="M113" i="9"/>
  <c r="M108" i="9"/>
  <c r="M92" i="9"/>
  <c r="M66" i="9"/>
  <c r="M89" i="9"/>
  <c r="M57" i="9"/>
  <c r="M41" i="9"/>
  <c r="M25" i="9"/>
  <c r="M9" i="9"/>
  <c r="M73" i="9"/>
  <c r="M103" i="9"/>
  <c r="M100" i="9"/>
  <c r="M63" i="9"/>
  <c r="M47" i="9"/>
  <c r="M31" i="9"/>
  <c r="M15" i="9"/>
  <c r="M87" i="9"/>
  <c r="M102" i="9"/>
  <c r="L2" i="9"/>
  <c r="L3" i="9"/>
  <c r="M7" i="9"/>
  <c r="L51" i="9"/>
  <c r="M105" i="9"/>
  <c r="M59" i="9"/>
  <c r="M43" i="9"/>
  <c r="M27" i="9"/>
  <c r="M11" i="9"/>
  <c r="M75" i="9"/>
  <c r="M68" i="9"/>
  <c r="M52" i="9"/>
  <c r="M36" i="9"/>
  <c r="M20" i="9"/>
  <c r="M4" i="9"/>
  <c r="M88" i="9"/>
  <c r="M65" i="9"/>
  <c r="M49" i="9"/>
  <c r="M33" i="9"/>
  <c r="M17" i="9"/>
  <c r="M67" i="9"/>
  <c r="M51" i="9"/>
  <c r="M35" i="9"/>
  <c r="M19" i="9"/>
  <c r="M3" i="9"/>
  <c r="L71" i="9"/>
  <c r="L111" i="9"/>
  <c r="M91" i="9"/>
  <c r="L57" i="9"/>
  <c r="L41" i="9"/>
  <c r="L25" i="9"/>
  <c r="M107" i="9"/>
  <c r="M54" i="9"/>
  <c r="M38" i="9"/>
  <c r="M22" i="9"/>
  <c r="M6" i="9"/>
  <c r="M70" i="9"/>
  <c r="M109" i="9"/>
  <c r="M93" i="9"/>
  <c r="M56" i="9"/>
  <c r="M40" i="9"/>
  <c r="M24" i="9"/>
  <c r="M8" i="9"/>
  <c r="M104" i="9"/>
  <c r="M72" i="9"/>
  <c r="L65" i="9"/>
  <c r="L33" i="9"/>
  <c r="L49" i="9"/>
  <c r="L112" i="9"/>
  <c r="L97" i="9"/>
  <c r="L28" i="9"/>
  <c r="L12" i="9"/>
  <c r="L44" i="9"/>
  <c r="L92" i="9"/>
  <c r="L84" i="9"/>
  <c r="L76" i="9"/>
  <c r="L103" i="9"/>
  <c r="L64" i="9"/>
  <c r="L48" i="9"/>
  <c r="L32" i="9"/>
  <c r="L16" i="9"/>
  <c r="L68" i="9"/>
  <c r="L66" i="9"/>
  <c r="L50" i="9"/>
  <c r="L18" i="9"/>
  <c r="L4" i="9"/>
  <c r="L63" i="9"/>
  <c r="L47" i="9"/>
  <c r="L31" i="9"/>
  <c r="M97" i="9"/>
  <c r="L8" i="9"/>
  <c r="M112" i="9"/>
  <c r="L17" i="9"/>
  <c r="L20" i="9"/>
  <c r="M114" i="9"/>
  <c r="M99" i="9"/>
  <c r="M60" i="9"/>
  <c r="M44" i="9"/>
  <c r="M28" i="9"/>
  <c r="M12" i="9"/>
  <c r="M76" i="9"/>
  <c r="L35" i="9"/>
  <c r="L19" i="9"/>
  <c r="L107" i="9"/>
  <c r="L36" i="9"/>
  <c r="M101" i="9"/>
  <c r="M62" i="9"/>
  <c r="L60" i="9"/>
  <c r="M46" i="9"/>
  <c r="M30" i="9"/>
  <c r="M14" i="9"/>
  <c r="L52" i="9"/>
  <c r="L108" i="9"/>
  <c r="M64" i="9"/>
  <c r="L62" i="9"/>
  <c r="M48" i="9"/>
  <c r="M32" i="9"/>
  <c r="M16" i="9"/>
  <c r="M95" i="9"/>
  <c r="M94" i="9"/>
  <c r="M82" i="9"/>
  <c r="M84" i="9"/>
  <c r="M83" i="9"/>
  <c r="L96" i="9"/>
  <c r="L95" i="9"/>
  <c r="M86" i="9"/>
  <c r="L109" i="9"/>
  <c r="L93" i="9"/>
  <c r="L77" i="9"/>
  <c r="L61" i="9"/>
  <c r="L45" i="9"/>
  <c r="L29" i="9"/>
  <c r="L13" i="9"/>
  <c r="L100" i="9"/>
  <c r="L102" i="9"/>
  <c r="L86" i="9"/>
  <c r="L70" i="9"/>
  <c r="L54" i="9"/>
  <c r="L38" i="9"/>
  <c r="L22" i="9"/>
  <c r="L6" i="9"/>
  <c r="L15" i="9"/>
  <c r="M106" i="9"/>
  <c r="L104" i="9"/>
  <c r="M90" i="9"/>
  <c r="L88" i="9"/>
  <c r="M74" i="9"/>
  <c r="L72" i="9"/>
  <c r="M58" i="9"/>
  <c r="L56" i="9"/>
  <c r="M42" i="9"/>
  <c r="L40" i="9"/>
  <c r="M26" i="9"/>
  <c r="L24" i="9"/>
  <c r="M10" i="9"/>
  <c r="L106" i="9"/>
  <c r="L90" i="9"/>
  <c r="L74" i="9"/>
  <c r="L58" i="9"/>
  <c r="L42" i="9"/>
  <c r="L26" i="9"/>
  <c r="L10" i="9"/>
  <c r="L114" i="9"/>
  <c r="L99" i="9"/>
  <c r="M85" i="9"/>
  <c r="L83" i="9"/>
  <c r="M69" i="9"/>
  <c r="L67" i="9"/>
  <c r="M53" i="9"/>
  <c r="M37" i="9"/>
  <c r="M21" i="9"/>
  <c r="M5" i="9"/>
  <c r="L101" i="9"/>
  <c r="L85" i="9"/>
  <c r="L69" i="9"/>
  <c r="L53" i="9"/>
  <c r="L37" i="9"/>
  <c r="L21" i="9"/>
  <c r="L5" i="9"/>
  <c r="M2" i="9"/>
  <c r="L110" i="9"/>
  <c r="L94" i="9"/>
  <c r="L46" i="9"/>
  <c r="L30" i="9"/>
  <c r="L14" i="9"/>
  <c r="L87" i="9"/>
  <c r="L55" i="9"/>
  <c r="L39" i="9"/>
  <c r="L23" i="9"/>
  <c r="L7" i="9"/>
  <c r="M50" i="9"/>
  <c r="M34" i="9"/>
  <c r="M18" i="9"/>
  <c r="L105" i="9"/>
  <c r="L89" i="9"/>
  <c r="L73" i="9"/>
  <c r="L9" i="9"/>
  <c r="L113" i="9"/>
  <c r="L98" i="9"/>
  <c r="L34" i="9"/>
  <c r="L91" i="9"/>
  <c r="M77" i="9"/>
  <c r="L75" i="9"/>
  <c r="M61" i="9"/>
  <c r="L59" i="9"/>
  <c r="M45" i="9"/>
  <c r="L43" i="9"/>
  <c r="M29" i="9"/>
  <c r="L27" i="9"/>
  <c r="M13" i="9"/>
  <c r="L11" i="9"/>
  <c r="I27" i="7"/>
  <c r="I26" i="7"/>
  <c r="F8" i="7"/>
  <c r="D96" i="6"/>
  <c r="D95" i="6"/>
  <c r="D94" i="6"/>
  <c r="D93" i="6"/>
  <c r="D92" i="6"/>
  <c r="D91" i="6"/>
  <c r="D90" i="6"/>
  <c r="D89" i="6"/>
  <c r="D88" i="6"/>
  <c r="D87" i="6"/>
  <c r="D82" i="6"/>
  <c r="D86" i="6"/>
  <c r="D85" i="6"/>
  <c r="D84" i="6"/>
  <c r="D83" i="6"/>
  <c r="D71" i="6"/>
  <c r="D70" i="6"/>
  <c r="D69" i="6"/>
  <c r="D68" i="6"/>
  <c r="D67" i="6"/>
  <c r="D48" i="6"/>
  <c r="D66" i="6"/>
  <c r="D65" i="6"/>
  <c r="D64" i="6"/>
  <c r="D63" i="6"/>
  <c r="D62" i="6"/>
  <c r="D47" i="6"/>
  <c r="D51" i="6"/>
  <c r="D50" i="6"/>
  <c r="D49" i="6"/>
  <c r="F11" i="7"/>
  <c r="P90" i="5"/>
  <c r="O90" i="5"/>
  <c r="M8" i="7"/>
  <c r="K13" i="7"/>
  <c r="K8" i="7"/>
  <c r="F10" i="7"/>
  <c r="F14" i="7" l="1"/>
  <c r="F13" i="7"/>
  <c r="F12" i="7"/>
  <c r="F9" i="7"/>
  <c r="F22" i="7"/>
  <c r="G17" i="7"/>
  <c r="F25" i="7"/>
  <c r="G16" i="7"/>
  <c r="E25" i="7"/>
  <c r="G15" i="7"/>
  <c r="E22" i="7"/>
  <c r="G11" i="7"/>
  <c r="G14" i="7"/>
  <c r="G13" i="7"/>
  <c r="G12" i="7"/>
  <c r="F17" i="7"/>
  <c r="G10" i="7"/>
  <c r="F16" i="7"/>
  <c r="G9" i="7"/>
  <c r="F15" i="7"/>
  <c r="G8" i="7"/>
  <c r="A3" i="5" l="1"/>
  <c r="B3" i="5"/>
  <c r="C3" i="5"/>
  <c r="D3" i="5"/>
  <c r="E3" i="5"/>
  <c r="F3" i="5"/>
  <c r="G3" i="5"/>
  <c r="H3" i="5"/>
  <c r="I3" i="5"/>
  <c r="J3" i="5"/>
  <c r="K3" i="5"/>
  <c r="L3" i="5"/>
  <c r="M3" i="5"/>
  <c r="N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B2" i="5"/>
  <c r="C2" i="5"/>
  <c r="D2" i="5"/>
  <c r="E2" i="5"/>
  <c r="F2" i="5"/>
  <c r="G2" i="5"/>
  <c r="H2" i="5"/>
  <c r="I2" i="5"/>
  <c r="J2" i="5"/>
  <c r="K2" i="5"/>
  <c r="L2" i="5"/>
  <c r="M2" i="5"/>
  <c r="N2" i="5"/>
  <c r="A2" i="5"/>
  <c r="D120" i="6"/>
  <c r="D119" i="6"/>
  <c r="D118" i="6"/>
  <c r="D117" i="6"/>
  <c r="D100" i="6"/>
  <c r="D99" i="6"/>
  <c r="D98" i="6"/>
  <c r="D81" i="6"/>
  <c r="D80" i="6"/>
  <c r="D79" i="6"/>
  <c r="D78" i="6"/>
  <c r="D77" i="6"/>
  <c r="D76" i="6"/>
  <c r="D75" i="6"/>
  <c r="D74" i="6"/>
  <c r="D73" i="6"/>
  <c r="D72" i="6"/>
  <c r="D61" i="6"/>
  <c r="D60" i="6"/>
  <c r="D59" i="6"/>
  <c r="D58" i="6"/>
  <c r="D57" i="6"/>
  <c r="D56" i="6"/>
  <c r="D55" i="6"/>
  <c r="D54" i="6"/>
  <c r="D53" i="6"/>
  <c r="D52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P24" i="3" l="1"/>
  <c r="I24" i="3"/>
  <c r="H24" i="3"/>
  <c r="G24" i="3"/>
  <c r="L24" i="3" s="1"/>
  <c r="N24" i="3" s="1"/>
  <c r="F24" i="3"/>
  <c r="E24" i="3"/>
  <c r="D24" i="3"/>
  <c r="P23" i="3"/>
  <c r="M23" i="3"/>
  <c r="L23" i="3"/>
  <c r="N23" i="3" s="1"/>
  <c r="K23" i="3"/>
  <c r="I23" i="3"/>
  <c r="H23" i="3"/>
  <c r="G23" i="3"/>
  <c r="F23" i="3"/>
  <c r="E23" i="3"/>
  <c r="D23" i="3"/>
  <c r="P22" i="3"/>
  <c r="I22" i="3"/>
  <c r="H22" i="3"/>
  <c r="G22" i="3"/>
  <c r="L22" i="3" s="1"/>
  <c r="N22" i="3" s="1"/>
  <c r="F22" i="3"/>
  <c r="E22" i="3"/>
  <c r="D22" i="3"/>
  <c r="P21" i="3"/>
  <c r="I21" i="3"/>
  <c r="H21" i="3"/>
  <c r="G21" i="3"/>
  <c r="L21" i="3" s="1"/>
  <c r="N21" i="3" s="1"/>
  <c r="F21" i="3"/>
  <c r="E21" i="3"/>
  <c r="D21" i="3"/>
  <c r="P20" i="3"/>
  <c r="N20" i="3"/>
  <c r="M20" i="3"/>
  <c r="L20" i="3"/>
  <c r="K20" i="3"/>
  <c r="I20" i="3"/>
  <c r="H20" i="3"/>
  <c r="G20" i="3"/>
  <c r="F20" i="3"/>
  <c r="E20" i="3"/>
  <c r="D20" i="3"/>
  <c r="P19" i="3"/>
  <c r="I19" i="3"/>
  <c r="H19" i="3"/>
  <c r="G19" i="3"/>
  <c r="L19" i="3" s="1"/>
  <c r="N19" i="3" s="1"/>
  <c r="F19" i="3"/>
  <c r="E19" i="3"/>
  <c r="D19" i="3"/>
  <c r="P18" i="3"/>
  <c r="I18" i="3"/>
  <c r="H18" i="3"/>
  <c r="G18" i="3"/>
  <c r="L18" i="3" s="1"/>
  <c r="N18" i="3" s="1"/>
  <c r="F18" i="3"/>
  <c r="E18" i="3"/>
  <c r="D18" i="3"/>
  <c r="P17" i="3"/>
  <c r="N17" i="3"/>
  <c r="M17" i="3"/>
  <c r="L17" i="3"/>
  <c r="K17" i="3"/>
  <c r="I17" i="3"/>
  <c r="H17" i="3"/>
  <c r="G17" i="3"/>
  <c r="F17" i="3"/>
  <c r="E17" i="3"/>
  <c r="D17" i="3"/>
  <c r="P16" i="3"/>
  <c r="K16" i="3"/>
  <c r="M16" i="3" s="1"/>
  <c r="I16" i="3"/>
  <c r="H16" i="3"/>
  <c r="G16" i="3"/>
  <c r="L16" i="3" s="1"/>
  <c r="N16" i="3" s="1"/>
  <c r="F16" i="3"/>
  <c r="E16" i="3"/>
  <c r="D16" i="3"/>
  <c r="P15" i="3"/>
  <c r="I15" i="3"/>
  <c r="H15" i="3"/>
  <c r="G15" i="3"/>
  <c r="L15" i="3" s="1"/>
  <c r="N15" i="3" s="1"/>
  <c r="F15" i="3"/>
  <c r="E15" i="3"/>
  <c r="D15" i="3"/>
  <c r="P14" i="3"/>
  <c r="N14" i="3"/>
  <c r="L14" i="3"/>
  <c r="I14" i="3"/>
  <c r="H14" i="3"/>
  <c r="G14" i="3"/>
  <c r="F14" i="3"/>
  <c r="K14" i="3" s="1"/>
  <c r="M14" i="3" s="1"/>
  <c r="E14" i="3"/>
  <c r="D14" i="3"/>
  <c r="P13" i="3"/>
  <c r="L13" i="3"/>
  <c r="N13" i="3" s="1"/>
  <c r="K13" i="3"/>
  <c r="M13" i="3" s="1"/>
  <c r="I13" i="3"/>
  <c r="H13" i="3"/>
  <c r="G13" i="3"/>
  <c r="F13" i="3"/>
  <c r="E13" i="3"/>
  <c r="D13" i="3"/>
  <c r="P12" i="3"/>
  <c r="I12" i="3"/>
  <c r="H12" i="3"/>
  <c r="G12" i="3"/>
  <c r="L12" i="3" s="1"/>
  <c r="N12" i="3" s="1"/>
  <c r="F12" i="3"/>
  <c r="K12" i="3" s="1"/>
  <c r="M12" i="3" s="1"/>
  <c r="E12" i="3"/>
  <c r="D12" i="3"/>
  <c r="P11" i="3"/>
  <c r="I11" i="3"/>
  <c r="H11" i="3"/>
  <c r="G11" i="3"/>
  <c r="L11" i="3" s="1"/>
  <c r="N11" i="3" s="1"/>
  <c r="F11" i="3"/>
  <c r="E11" i="3"/>
  <c r="D11" i="3"/>
  <c r="P10" i="3"/>
  <c r="L10" i="3"/>
  <c r="N10" i="3" s="1"/>
  <c r="K10" i="3"/>
  <c r="M10" i="3" s="1"/>
  <c r="I10" i="3"/>
  <c r="H10" i="3"/>
  <c r="G10" i="3"/>
  <c r="F10" i="3"/>
  <c r="E10" i="3"/>
  <c r="D10" i="3"/>
  <c r="P9" i="3"/>
  <c r="I9" i="3"/>
  <c r="H9" i="3"/>
  <c r="G9" i="3"/>
  <c r="L9" i="3" s="1"/>
  <c r="N9" i="3" s="1"/>
  <c r="F9" i="3"/>
  <c r="E9" i="3"/>
  <c r="D9" i="3"/>
  <c r="P8" i="3"/>
  <c r="I8" i="3"/>
  <c r="H8" i="3"/>
  <c r="G8" i="3"/>
  <c r="L8" i="3" s="1"/>
  <c r="N8" i="3" s="1"/>
  <c r="F8" i="3"/>
  <c r="E8" i="3"/>
  <c r="D8" i="3"/>
  <c r="P7" i="3"/>
  <c r="M7" i="3"/>
  <c r="L7" i="3"/>
  <c r="N7" i="3" s="1"/>
  <c r="K7" i="3"/>
  <c r="I7" i="3"/>
  <c r="H7" i="3"/>
  <c r="G7" i="3"/>
  <c r="F7" i="3"/>
  <c r="E7" i="3"/>
  <c r="D7" i="3"/>
  <c r="P6" i="3"/>
  <c r="I6" i="3"/>
  <c r="H6" i="3"/>
  <c r="G6" i="3"/>
  <c r="L6" i="3" s="1"/>
  <c r="N6" i="3" s="1"/>
  <c r="F6" i="3"/>
  <c r="E6" i="3"/>
  <c r="D6" i="3"/>
  <c r="P5" i="3"/>
  <c r="I5" i="3"/>
  <c r="H5" i="3"/>
  <c r="G5" i="3"/>
  <c r="L5" i="3" s="1"/>
  <c r="N5" i="3" s="1"/>
  <c r="F5" i="3"/>
  <c r="E5" i="3"/>
  <c r="D5" i="3"/>
  <c r="P4" i="3"/>
  <c r="N4" i="3"/>
  <c r="M4" i="3"/>
  <c r="L4" i="3"/>
  <c r="K4" i="3"/>
  <c r="I4" i="3"/>
  <c r="H4" i="3"/>
  <c r="G4" i="3"/>
  <c r="F4" i="3"/>
  <c r="E4" i="3"/>
  <c r="D4" i="3"/>
  <c r="P3" i="3"/>
  <c r="I3" i="3"/>
  <c r="H3" i="3"/>
  <c r="G3" i="3"/>
  <c r="L3" i="3" s="1"/>
  <c r="N3" i="3" s="1"/>
  <c r="F3" i="3"/>
  <c r="E3" i="3"/>
  <c r="D3" i="3"/>
  <c r="P2" i="3"/>
  <c r="I2" i="3"/>
  <c r="H2" i="3"/>
  <c r="G2" i="3"/>
  <c r="L2" i="3" s="1"/>
  <c r="N2" i="3" s="1"/>
  <c r="F2" i="3"/>
  <c r="E2" i="3"/>
  <c r="D2" i="3"/>
  <c r="N122" i="2"/>
  <c r="P122" i="2" s="1"/>
  <c r="M122" i="2"/>
  <c r="O122" i="2" s="1"/>
  <c r="K122" i="2"/>
  <c r="J122" i="2"/>
  <c r="I122" i="2"/>
  <c r="H122" i="2"/>
  <c r="G122" i="2"/>
  <c r="F122" i="2"/>
  <c r="E122" i="2"/>
  <c r="N121" i="2"/>
  <c r="P121" i="2" s="1"/>
  <c r="K121" i="2"/>
  <c r="J121" i="2"/>
  <c r="I121" i="2"/>
  <c r="H121" i="2"/>
  <c r="G121" i="2"/>
  <c r="M121" i="2" s="1"/>
  <c r="O121" i="2" s="1"/>
  <c r="F121" i="2"/>
  <c r="E121" i="2"/>
  <c r="N120" i="2"/>
  <c r="P120" i="2" s="1"/>
  <c r="K120" i="2"/>
  <c r="J120" i="2"/>
  <c r="I120" i="2"/>
  <c r="H120" i="2"/>
  <c r="G120" i="2"/>
  <c r="M120" i="2" s="1"/>
  <c r="O120" i="2" s="1"/>
  <c r="F120" i="2"/>
  <c r="E120" i="2"/>
  <c r="K119" i="2"/>
  <c r="J119" i="2"/>
  <c r="I119" i="2"/>
  <c r="H119" i="2"/>
  <c r="N119" i="2" s="1"/>
  <c r="P119" i="2" s="1"/>
  <c r="G119" i="2"/>
  <c r="M119" i="2" s="1"/>
  <c r="O119" i="2" s="1"/>
  <c r="E119" i="2"/>
  <c r="F119" i="2" s="1"/>
  <c r="T118" i="2"/>
  <c r="R118" i="2"/>
  <c r="P118" i="2"/>
  <c r="O118" i="2"/>
  <c r="N118" i="2"/>
  <c r="M118" i="2"/>
  <c r="K118" i="2"/>
  <c r="J118" i="2"/>
  <c r="I118" i="2"/>
  <c r="H118" i="2"/>
  <c r="G118" i="2"/>
  <c r="E118" i="2"/>
  <c r="F118" i="2" s="1"/>
  <c r="N117" i="2"/>
  <c r="P117" i="2" s="1"/>
  <c r="M117" i="2"/>
  <c r="O117" i="2" s="1"/>
  <c r="K117" i="2"/>
  <c r="J117" i="2"/>
  <c r="I117" i="2"/>
  <c r="H117" i="2"/>
  <c r="G117" i="2"/>
  <c r="E117" i="2"/>
  <c r="F117" i="2" s="1"/>
  <c r="K116" i="2"/>
  <c r="J116" i="2"/>
  <c r="I116" i="2"/>
  <c r="H116" i="2"/>
  <c r="N116" i="2" s="1"/>
  <c r="P116" i="2" s="1"/>
  <c r="G116" i="2"/>
  <c r="F116" i="2"/>
  <c r="E116" i="2"/>
  <c r="P115" i="2"/>
  <c r="N115" i="2"/>
  <c r="M115" i="2"/>
  <c r="O115" i="2" s="1"/>
  <c r="K115" i="2"/>
  <c r="J115" i="2"/>
  <c r="I115" i="2"/>
  <c r="H115" i="2"/>
  <c r="G115" i="2"/>
  <c r="F115" i="2"/>
  <c r="E115" i="2"/>
  <c r="N114" i="2"/>
  <c r="P114" i="2" s="1"/>
  <c r="M114" i="2"/>
  <c r="O114" i="2" s="1"/>
  <c r="K114" i="2"/>
  <c r="J114" i="2"/>
  <c r="I114" i="2"/>
  <c r="H114" i="2"/>
  <c r="G114" i="2"/>
  <c r="F114" i="2"/>
  <c r="E114" i="2"/>
  <c r="T113" i="2"/>
  <c r="R113" i="2"/>
  <c r="K113" i="2"/>
  <c r="J113" i="2"/>
  <c r="I113" i="2"/>
  <c r="H113" i="2"/>
  <c r="N113" i="2" s="1"/>
  <c r="P113" i="2" s="1"/>
  <c r="G113" i="2"/>
  <c r="M113" i="2" s="1"/>
  <c r="O113" i="2" s="1"/>
  <c r="E113" i="2"/>
  <c r="F113" i="2" s="1"/>
  <c r="O112" i="2"/>
  <c r="M112" i="2"/>
  <c r="K112" i="2"/>
  <c r="J112" i="2"/>
  <c r="I112" i="2"/>
  <c r="H112" i="2"/>
  <c r="N112" i="2" s="1"/>
  <c r="P112" i="2" s="1"/>
  <c r="G112" i="2"/>
  <c r="F112" i="2"/>
  <c r="E112" i="2"/>
  <c r="N111" i="2"/>
  <c r="P111" i="2" s="1"/>
  <c r="K111" i="2"/>
  <c r="J111" i="2"/>
  <c r="I111" i="2"/>
  <c r="H111" i="2"/>
  <c r="G111" i="2"/>
  <c r="M111" i="2" s="1"/>
  <c r="O111" i="2" s="1"/>
  <c r="E111" i="2"/>
  <c r="F111" i="2" s="1"/>
  <c r="K110" i="2"/>
  <c r="J110" i="2"/>
  <c r="I110" i="2"/>
  <c r="H110" i="2"/>
  <c r="N110" i="2" s="1"/>
  <c r="P110" i="2" s="1"/>
  <c r="G110" i="2"/>
  <c r="E110" i="2"/>
  <c r="F110" i="2" s="1"/>
  <c r="P109" i="2"/>
  <c r="N109" i="2"/>
  <c r="K109" i="2"/>
  <c r="J109" i="2"/>
  <c r="I109" i="2"/>
  <c r="H109" i="2"/>
  <c r="G109" i="2"/>
  <c r="M109" i="2" s="1"/>
  <c r="O109" i="2" s="1"/>
  <c r="E109" i="2"/>
  <c r="F109" i="2" s="1"/>
  <c r="T108" i="2"/>
  <c r="R108" i="2"/>
  <c r="N108" i="2"/>
  <c r="P108" i="2" s="1"/>
  <c r="K108" i="2"/>
  <c r="J108" i="2"/>
  <c r="I108" i="2"/>
  <c r="H108" i="2"/>
  <c r="G108" i="2"/>
  <c r="M108" i="2" s="1"/>
  <c r="O108" i="2" s="1"/>
  <c r="F108" i="2"/>
  <c r="E108" i="2"/>
  <c r="N107" i="2"/>
  <c r="P107" i="2" s="1"/>
  <c r="K107" i="2"/>
  <c r="J107" i="2"/>
  <c r="I107" i="2"/>
  <c r="H107" i="2"/>
  <c r="G107" i="2"/>
  <c r="M107" i="2" s="1"/>
  <c r="O107" i="2" s="1"/>
  <c r="E107" i="2"/>
  <c r="F107" i="2" s="1"/>
  <c r="N106" i="2"/>
  <c r="P106" i="2" s="1"/>
  <c r="K106" i="2"/>
  <c r="J106" i="2"/>
  <c r="I106" i="2"/>
  <c r="H106" i="2"/>
  <c r="G106" i="2"/>
  <c r="M106" i="2" s="1"/>
  <c r="O106" i="2" s="1"/>
  <c r="F106" i="2"/>
  <c r="E106" i="2"/>
  <c r="K105" i="2"/>
  <c r="J105" i="2"/>
  <c r="I105" i="2"/>
  <c r="H105" i="2"/>
  <c r="N105" i="2" s="1"/>
  <c r="P105" i="2" s="1"/>
  <c r="G105" i="2"/>
  <c r="E105" i="2"/>
  <c r="F105" i="2" s="1"/>
  <c r="M104" i="2"/>
  <c r="O104" i="2" s="1"/>
  <c r="K104" i="2"/>
  <c r="J104" i="2"/>
  <c r="I104" i="2"/>
  <c r="H104" i="2"/>
  <c r="N104" i="2" s="1"/>
  <c r="P104" i="2" s="1"/>
  <c r="G104" i="2"/>
  <c r="F104" i="2"/>
  <c r="E104" i="2"/>
  <c r="R103" i="2"/>
  <c r="T103" i="2" s="1"/>
  <c r="N103" i="2"/>
  <c r="P103" i="2" s="1"/>
  <c r="M103" i="2"/>
  <c r="O103" i="2" s="1"/>
  <c r="K103" i="2"/>
  <c r="J103" i="2"/>
  <c r="I103" i="2"/>
  <c r="H103" i="2"/>
  <c r="G103" i="2"/>
  <c r="E103" i="2"/>
  <c r="F103" i="2" s="1"/>
  <c r="M102" i="2"/>
  <c r="O102" i="2" s="1"/>
  <c r="K102" i="2"/>
  <c r="J102" i="2"/>
  <c r="I102" i="2"/>
  <c r="H102" i="2"/>
  <c r="N102" i="2" s="1"/>
  <c r="P102" i="2" s="1"/>
  <c r="G102" i="2"/>
  <c r="F102" i="2"/>
  <c r="E102" i="2"/>
  <c r="K101" i="2"/>
  <c r="J101" i="2"/>
  <c r="I101" i="2"/>
  <c r="H101" i="2"/>
  <c r="N101" i="2" s="1"/>
  <c r="P101" i="2" s="1"/>
  <c r="G101" i="2"/>
  <c r="M101" i="2" s="1"/>
  <c r="O101" i="2" s="1"/>
  <c r="F101" i="2"/>
  <c r="E101" i="2"/>
  <c r="N100" i="2"/>
  <c r="P100" i="2" s="1"/>
  <c r="M100" i="2"/>
  <c r="O100" i="2" s="1"/>
  <c r="K100" i="2"/>
  <c r="J100" i="2"/>
  <c r="I100" i="2"/>
  <c r="H100" i="2"/>
  <c r="G100" i="2"/>
  <c r="F100" i="2"/>
  <c r="E100" i="2"/>
  <c r="N99" i="2"/>
  <c r="P99" i="2" s="1"/>
  <c r="M99" i="2"/>
  <c r="O99" i="2" s="1"/>
  <c r="K99" i="2"/>
  <c r="J99" i="2"/>
  <c r="I99" i="2"/>
  <c r="H99" i="2"/>
  <c r="G99" i="2"/>
  <c r="E99" i="2"/>
  <c r="F99" i="2" s="1"/>
  <c r="T98" i="2"/>
  <c r="R98" i="2"/>
  <c r="P98" i="2"/>
  <c r="O98" i="2"/>
  <c r="N98" i="2"/>
  <c r="M98" i="2"/>
  <c r="K98" i="2"/>
  <c r="J98" i="2"/>
  <c r="I98" i="2"/>
  <c r="H98" i="2"/>
  <c r="G98" i="2"/>
  <c r="F98" i="2"/>
  <c r="E98" i="2"/>
  <c r="N97" i="2"/>
  <c r="P97" i="2" s="1"/>
  <c r="K97" i="2"/>
  <c r="J97" i="2"/>
  <c r="I97" i="2"/>
  <c r="H97" i="2"/>
  <c r="G97" i="2"/>
  <c r="M97" i="2" s="1"/>
  <c r="O97" i="2" s="1"/>
  <c r="E97" i="2"/>
  <c r="F97" i="2" s="1"/>
  <c r="K96" i="2"/>
  <c r="J96" i="2"/>
  <c r="I96" i="2"/>
  <c r="H96" i="2"/>
  <c r="N96" i="2" s="1"/>
  <c r="P96" i="2" s="1"/>
  <c r="G96" i="2"/>
  <c r="E96" i="2"/>
  <c r="F96" i="2" s="1"/>
  <c r="P95" i="2"/>
  <c r="N95" i="2"/>
  <c r="K95" i="2"/>
  <c r="J95" i="2"/>
  <c r="I95" i="2"/>
  <c r="H95" i="2"/>
  <c r="G95" i="2"/>
  <c r="M95" i="2" s="1"/>
  <c r="O95" i="2" s="1"/>
  <c r="E95" i="2"/>
  <c r="F95" i="2" s="1"/>
  <c r="K94" i="2"/>
  <c r="J94" i="2"/>
  <c r="I94" i="2"/>
  <c r="H94" i="2"/>
  <c r="N94" i="2" s="1"/>
  <c r="P94" i="2" s="1"/>
  <c r="G94" i="2"/>
  <c r="M94" i="2" s="1"/>
  <c r="O94" i="2" s="1"/>
  <c r="F94" i="2"/>
  <c r="E94" i="2"/>
  <c r="R93" i="2"/>
  <c r="T93" i="2" s="1"/>
  <c r="N93" i="2"/>
  <c r="P93" i="2" s="1"/>
  <c r="K93" i="2"/>
  <c r="J93" i="2"/>
  <c r="I93" i="2"/>
  <c r="H93" i="2"/>
  <c r="G93" i="2"/>
  <c r="M93" i="2" s="1"/>
  <c r="O93" i="2" s="1"/>
  <c r="E93" i="2"/>
  <c r="F93" i="2" s="1"/>
  <c r="N92" i="2"/>
  <c r="P92" i="2" s="1"/>
  <c r="M92" i="2"/>
  <c r="O92" i="2" s="1"/>
  <c r="K92" i="2"/>
  <c r="J92" i="2"/>
  <c r="I92" i="2"/>
  <c r="H92" i="2"/>
  <c r="G92" i="2"/>
  <c r="F92" i="2"/>
  <c r="E92" i="2"/>
  <c r="K91" i="2"/>
  <c r="J91" i="2"/>
  <c r="I91" i="2"/>
  <c r="H91" i="2"/>
  <c r="N91" i="2" s="1"/>
  <c r="P91" i="2" s="1"/>
  <c r="G91" i="2"/>
  <c r="M91" i="2" s="1"/>
  <c r="O91" i="2" s="1"/>
  <c r="E91" i="2"/>
  <c r="F91" i="2" s="1"/>
  <c r="M90" i="2"/>
  <c r="O90" i="2" s="1"/>
  <c r="K90" i="2"/>
  <c r="J90" i="2"/>
  <c r="I90" i="2"/>
  <c r="H90" i="2"/>
  <c r="N90" i="2" s="1"/>
  <c r="P90" i="2" s="1"/>
  <c r="G90" i="2"/>
  <c r="F90" i="2"/>
  <c r="E90" i="2"/>
  <c r="N89" i="2"/>
  <c r="P89" i="2" s="1"/>
  <c r="K89" i="2"/>
  <c r="J89" i="2"/>
  <c r="I89" i="2"/>
  <c r="H89" i="2"/>
  <c r="G89" i="2"/>
  <c r="M89" i="2" s="1"/>
  <c r="O89" i="2" s="1"/>
  <c r="E89" i="2"/>
  <c r="F89" i="2" s="1"/>
  <c r="T88" i="2"/>
  <c r="R88" i="2"/>
  <c r="M88" i="2"/>
  <c r="O88" i="2" s="1"/>
  <c r="K88" i="2"/>
  <c r="J88" i="2"/>
  <c r="I88" i="2"/>
  <c r="H88" i="2"/>
  <c r="N88" i="2" s="1"/>
  <c r="P88" i="2" s="1"/>
  <c r="G88" i="2"/>
  <c r="F88" i="2"/>
  <c r="E88" i="2"/>
  <c r="K87" i="2"/>
  <c r="J87" i="2"/>
  <c r="I87" i="2"/>
  <c r="H87" i="2"/>
  <c r="N87" i="2" s="1"/>
  <c r="P87" i="2" s="1"/>
  <c r="G87" i="2"/>
  <c r="M87" i="2" s="1"/>
  <c r="O87" i="2" s="1"/>
  <c r="E87" i="2"/>
  <c r="F87" i="2" s="1"/>
  <c r="N86" i="2"/>
  <c r="P86" i="2" s="1"/>
  <c r="K86" i="2"/>
  <c r="J86" i="2"/>
  <c r="I86" i="2"/>
  <c r="H86" i="2"/>
  <c r="G86" i="2"/>
  <c r="M86" i="2" s="1"/>
  <c r="O86" i="2" s="1"/>
  <c r="F86" i="2"/>
  <c r="E86" i="2"/>
  <c r="N85" i="2"/>
  <c r="P85" i="2" s="1"/>
  <c r="M85" i="2"/>
  <c r="O85" i="2" s="1"/>
  <c r="K85" i="2"/>
  <c r="J85" i="2"/>
  <c r="I85" i="2"/>
  <c r="H85" i="2"/>
  <c r="G85" i="2"/>
  <c r="E85" i="2"/>
  <c r="F85" i="2" s="1"/>
  <c r="R84" i="2"/>
  <c r="T84" i="2" s="1"/>
  <c r="K84" i="2"/>
  <c r="J84" i="2"/>
  <c r="I84" i="2"/>
  <c r="H84" i="2"/>
  <c r="N84" i="2" s="1"/>
  <c r="P84" i="2" s="1"/>
  <c r="G84" i="2"/>
  <c r="F84" i="2"/>
  <c r="E84" i="2"/>
  <c r="N83" i="2"/>
  <c r="P83" i="2" s="1"/>
  <c r="M83" i="2"/>
  <c r="O83" i="2" s="1"/>
  <c r="K83" i="2"/>
  <c r="J83" i="2"/>
  <c r="I83" i="2"/>
  <c r="H83" i="2"/>
  <c r="G83" i="2"/>
  <c r="E83" i="2"/>
  <c r="F83" i="2" s="1"/>
  <c r="K82" i="2"/>
  <c r="J82" i="2"/>
  <c r="I82" i="2"/>
  <c r="H82" i="2"/>
  <c r="N82" i="2" s="1"/>
  <c r="P82" i="2" s="1"/>
  <c r="G82" i="2"/>
  <c r="M82" i="2" s="1"/>
  <c r="O82" i="2" s="1"/>
  <c r="E82" i="2"/>
  <c r="F82" i="2" s="1"/>
  <c r="P81" i="2"/>
  <c r="N81" i="2"/>
  <c r="K81" i="2"/>
  <c r="J81" i="2"/>
  <c r="I81" i="2"/>
  <c r="H81" i="2"/>
  <c r="G81" i="2"/>
  <c r="M81" i="2" s="1"/>
  <c r="O81" i="2" s="1"/>
  <c r="E81" i="2"/>
  <c r="F81" i="2" s="1"/>
  <c r="T80" i="2"/>
  <c r="R80" i="2"/>
  <c r="K80" i="2"/>
  <c r="J80" i="2"/>
  <c r="I80" i="2"/>
  <c r="H80" i="2"/>
  <c r="N80" i="2" s="1"/>
  <c r="P80" i="2" s="1"/>
  <c r="G80" i="2"/>
  <c r="M80" i="2" s="1"/>
  <c r="O80" i="2" s="1"/>
  <c r="F80" i="2"/>
  <c r="E80" i="2"/>
  <c r="K79" i="2"/>
  <c r="J79" i="2"/>
  <c r="I79" i="2"/>
  <c r="H79" i="2"/>
  <c r="N79" i="2" s="1"/>
  <c r="P79" i="2" s="1"/>
  <c r="G79" i="2"/>
  <c r="M79" i="2" s="1"/>
  <c r="O79" i="2" s="1"/>
  <c r="E79" i="2"/>
  <c r="F79" i="2" s="1"/>
  <c r="N78" i="2"/>
  <c r="P78" i="2" s="1"/>
  <c r="M78" i="2"/>
  <c r="O78" i="2" s="1"/>
  <c r="K78" i="2"/>
  <c r="J78" i="2"/>
  <c r="I78" i="2"/>
  <c r="H78" i="2"/>
  <c r="G78" i="2"/>
  <c r="E78" i="2"/>
  <c r="F78" i="2" s="1"/>
  <c r="K77" i="2"/>
  <c r="J77" i="2"/>
  <c r="I77" i="2"/>
  <c r="H77" i="2"/>
  <c r="N77" i="2" s="1"/>
  <c r="P77" i="2" s="1"/>
  <c r="G77" i="2"/>
  <c r="M77" i="2" s="1"/>
  <c r="O77" i="2" s="1"/>
  <c r="E77" i="2"/>
  <c r="F77" i="2" s="1"/>
  <c r="R76" i="2"/>
  <c r="T76" i="2" s="1"/>
  <c r="N76" i="2"/>
  <c r="P76" i="2" s="1"/>
  <c r="K76" i="2"/>
  <c r="J76" i="2"/>
  <c r="I76" i="2"/>
  <c r="H76" i="2"/>
  <c r="G76" i="2"/>
  <c r="M76" i="2" s="1"/>
  <c r="O76" i="2" s="1"/>
  <c r="F76" i="2"/>
  <c r="E76" i="2"/>
  <c r="K75" i="2"/>
  <c r="J75" i="2"/>
  <c r="I75" i="2"/>
  <c r="H75" i="2"/>
  <c r="M75" i="2" s="1"/>
  <c r="O75" i="2" s="1"/>
  <c r="G75" i="2"/>
  <c r="E75" i="2"/>
  <c r="F75" i="2" s="1"/>
  <c r="M74" i="2"/>
  <c r="O74" i="2" s="1"/>
  <c r="K74" i="2"/>
  <c r="J74" i="2"/>
  <c r="I74" i="2"/>
  <c r="H74" i="2"/>
  <c r="N74" i="2" s="1"/>
  <c r="P74" i="2" s="1"/>
  <c r="G74" i="2"/>
  <c r="F74" i="2"/>
  <c r="E74" i="2"/>
  <c r="K73" i="2"/>
  <c r="J73" i="2"/>
  <c r="I73" i="2"/>
  <c r="H73" i="2"/>
  <c r="N73" i="2" s="1"/>
  <c r="P73" i="2" s="1"/>
  <c r="G73" i="2"/>
  <c r="M73" i="2" s="1"/>
  <c r="O73" i="2" s="1"/>
  <c r="E73" i="2"/>
  <c r="F73" i="2" s="1"/>
  <c r="T72" i="2"/>
  <c r="R72" i="2"/>
  <c r="M72" i="2"/>
  <c r="O72" i="2" s="1"/>
  <c r="K72" i="2"/>
  <c r="J72" i="2"/>
  <c r="I72" i="2"/>
  <c r="H72" i="2"/>
  <c r="N72" i="2" s="1"/>
  <c r="P72" i="2" s="1"/>
  <c r="G72" i="2"/>
  <c r="F72" i="2"/>
  <c r="E72" i="2"/>
  <c r="N71" i="2"/>
  <c r="P71" i="2" s="1"/>
  <c r="K71" i="2"/>
  <c r="J71" i="2"/>
  <c r="I71" i="2"/>
  <c r="H71" i="2"/>
  <c r="G71" i="2"/>
  <c r="M71" i="2" s="1"/>
  <c r="O71" i="2" s="1"/>
  <c r="F71" i="2"/>
  <c r="E71" i="2"/>
  <c r="K70" i="2"/>
  <c r="J70" i="2"/>
  <c r="I70" i="2"/>
  <c r="H70" i="2"/>
  <c r="N70" i="2" s="1"/>
  <c r="P70" i="2" s="1"/>
  <c r="G70" i="2"/>
  <c r="E70" i="2"/>
  <c r="F70" i="2" s="1"/>
  <c r="N69" i="2"/>
  <c r="P69" i="2" s="1"/>
  <c r="M69" i="2"/>
  <c r="O69" i="2" s="1"/>
  <c r="K69" i="2"/>
  <c r="J69" i="2"/>
  <c r="I69" i="2"/>
  <c r="H69" i="2"/>
  <c r="G69" i="2"/>
  <c r="E69" i="2"/>
  <c r="F69" i="2" s="1"/>
  <c r="R68" i="2"/>
  <c r="T68" i="2" s="1"/>
  <c r="N68" i="2"/>
  <c r="P68" i="2" s="1"/>
  <c r="K68" i="2"/>
  <c r="J68" i="2"/>
  <c r="I68" i="2"/>
  <c r="H68" i="2"/>
  <c r="G68" i="2"/>
  <c r="M68" i="2" s="1"/>
  <c r="O68" i="2" s="1"/>
  <c r="F68" i="2"/>
  <c r="E68" i="2"/>
  <c r="N67" i="2"/>
  <c r="P67" i="2" s="1"/>
  <c r="M67" i="2"/>
  <c r="O67" i="2" s="1"/>
  <c r="K67" i="2"/>
  <c r="J67" i="2"/>
  <c r="I67" i="2"/>
  <c r="H67" i="2"/>
  <c r="G67" i="2"/>
  <c r="E67" i="2"/>
  <c r="F67" i="2" s="1"/>
  <c r="K66" i="2"/>
  <c r="J66" i="2"/>
  <c r="I66" i="2"/>
  <c r="H66" i="2"/>
  <c r="N66" i="2" s="1"/>
  <c r="P66" i="2" s="1"/>
  <c r="G66" i="2"/>
  <c r="M66" i="2" s="1"/>
  <c r="O66" i="2" s="1"/>
  <c r="F66" i="2"/>
  <c r="E66" i="2"/>
  <c r="T65" i="2"/>
  <c r="R65" i="2"/>
  <c r="N65" i="2"/>
  <c r="P65" i="2" s="1"/>
  <c r="M65" i="2"/>
  <c r="O65" i="2" s="1"/>
  <c r="K65" i="2"/>
  <c r="J65" i="2"/>
  <c r="I65" i="2"/>
  <c r="H65" i="2"/>
  <c r="G65" i="2"/>
  <c r="E65" i="2"/>
  <c r="F65" i="2" s="1"/>
  <c r="K64" i="2"/>
  <c r="J64" i="2"/>
  <c r="I64" i="2"/>
  <c r="H64" i="2"/>
  <c r="N64" i="2" s="1"/>
  <c r="P64" i="2" s="1"/>
  <c r="G64" i="2"/>
  <c r="M64" i="2" s="1"/>
  <c r="O64" i="2" s="1"/>
  <c r="E64" i="2"/>
  <c r="F64" i="2" s="1"/>
  <c r="P63" i="2"/>
  <c r="N63" i="2"/>
  <c r="K63" i="2"/>
  <c r="J63" i="2"/>
  <c r="I63" i="2"/>
  <c r="H63" i="2"/>
  <c r="G63" i="2"/>
  <c r="M63" i="2" s="1"/>
  <c r="O63" i="2" s="1"/>
  <c r="F63" i="2"/>
  <c r="E63" i="2"/>
  <c r="N62" i="2"/>
  <c r="P62" i="2" s="1"/>
  <c r="K62" i="2"/>
  <c r="J62" i="2"/>
  <c r="I62" i="2"/>
  <c r="H62" i="2"/>
  <c r="G62" i="2"/>
  <c r="M62" i="2" s="1"/>
  <c r="O62" i="2" s="1"/>
  <c r="E62" i="2"/>
  <c r="F62" i="2" s="1"/>
  <c r="T61" i="2"/>
  <c r="R61" i="2"/>
  <c r="K61" i="2"/>
  <c r="J61" i="2"/>
  <c r="I61" i="2"/>
  <c r="H61" i="2"/>
  <c r="N61" i="2" s="1"/>
  <c r="P61" i="2" s="1"/>
  <c r="G61" i="2"/>
  <c r="M61" i="2" s="1"/>
  <c r="O61" i="2" s="1"/>
  <c r="E61" i="2"/>
  <c r="F61" i="2" s="1"/>
  <c r="N60" i="2"/>
  <c r="P60" i="2" s="1"/>
  <c r="M60" i="2"/>
  <c r="O60" i="2" s="1"/>
  <c r="K60" i="2"/>
  <c r="J60" i="2"/>
  <c r="I60" i="2"/>
  <c r="H60" i="2"/>
  <c r="G60" i="2"/>
  <c r="E60" i="2"/>
  <c r="F60" i="2" s="1"/>
  <c r="K59" i="2"/>
  <c r="J59" i="2"/>
  <c r="I59" i="2"/>
  <c r="H59" i="2"/>
  <c r="N59" i="2" s="1"/>
  <c r="P59" i="2" s="1"/>
  <c r="G59" i="2"/>
  <c r="M59" i="2" s="1"/>
  <c r="O59" i="2" s="1"/>
  <c r="E59" i="2"/>
  <c r="F59" i="2" s="1"/>
  <c r="M58" i="2"/>
  <c r="O58" i="2" s="1"/>
  <c r="K58" i="2"/>
  <c r="J58" i="2"/>
  <c r="I58" i="2"/>
  <c r="H58" i="2"/>
  <c r="N58" i="2" s="1"/>
  <c r="P58" i="2" s="1"/>
  <c r="G58" i="2"/>
  <c r="F58" i="2"/>
  <c r="E58" i="2"/>
  <c r="T57" i="2"/>
  <c r="R57" i="2"/>
  <c r="K57" i="2"/>
  <c r="J57" i="2"/>
  <c r="I57" i="2"/>
  <c r="H57" i="2"/>
  <c r="M57" i="2" s="1"/>
  <c r="O57" i="2" s="1"/>
  <c r="G57" i="2"/>
  <c r="E57" i="2"/>
  <c r="F57" i="2" s="1"/>
  <c r="M56" i="2"/>
  <c r="O56" i="2" s="1"/>
  <c r="K56" i="2"/>
  <c r="J56" i="2"/>
  <c r="I56" i="2"/>
  <c r="H56" i="2"/>
  <c r="N56" i="2" s="1"/>
  <c r="P56" i="2" s="1"/>
  <c r="G56" i="2"/>
  <c r="F56" i="2"/>
  <c r="E56" i="2"/>
  <c r="K55" i="2"/>
  <c r="J55" i="2"/>
  <c r="I55" i="2"/>
  <c r="H55" i="2"/>
  <c r="N55" i="2" s="1"/>
  <c r="P55" i="2" s="1"/>
  <c r="G55" i="2"/>
  <c r="M55" i="2" s="1"/>
  <c r="O55" i="2" s="1"/>
  <c r="E55" i="2"/>
  <c r="F55" i="2" s="1"/>
  <c r="N54" i="2"/>
  <c r="P54" i="2" s="1"/>
  <c r="K54" i="2"/>
  <c r="J54" i="2"/>
  <c r="I54" i="2"/>
  <c r="H54" i="2"/>
  <c r="G54" i="2"/>
  <c r="M54" i="2" s="1"/>
  <c r="O54" i="2" s="1"/>
  <c r="F54" i="2"/>
  <c r="E54" i="2"/>
  <c r="T53" i="2"/>
  <c r="R53" i="2"/>
  <c r="N53" i="2"/>
  <c r="P53" i="2" s="1"/>
  <c r="K53" i="2"/>
  <c r="J53" i="2"/>
  <c r="I53" i="2"/>
  <c r="H53" i="2"/>
  <c r="G53" i="2"/>
  <c r="M53" i="2" s="1"/>
  <c r="O53" i="2" s="1"/>
  <c r="F53" i="2"/>
  <c r="E53" i="2"/>
  <c r="K52" i="2"/>
  <c r="J52" i="2"/>
  <c r="I52" i="2"/>
  <c r="H52" i="2"/>
  <c r="N52" i="2" s="1"/>
  <c r="P52" i="2" s="1"/>
  <c r="G52" i="2"/>
  <c r="E52" i="2"/>
  <c r="F52" i="2" s="1"/>
  <c r="N51" i="2"/>
  <c r="P51" i="2" s="1"/>
  <c r="M51" i="2"/>
  <c r="O51" i="2" s="1"/>
  <c r="K51" i="2"/>
  <c r="J51" i="2"/>
  <c r="I51" i="2"/>
  <c r="H51" i="2"/>
  <c r="G51" i="2"/>
  <c r="E51" i="2"/>
  <c r="F51" i="2" s="1"/>
  <c r="K50" i="2"/>
  <c r="J50" i="2"/>
  <c r="I50" i="2"/>
  <c r="H50" i="2"/>
  <c r="N50" i="2" s="1"/>
  <c r="P50" i="2" s="1"/>
  <c r="G50" i="2"/>
  <c r="M50" i="2" s="1"/>
  <c r="O50" i="2" s="1"/>
  <c r="E50" i="2"/>
  <c r="F50" i="2" s="1"/>
  <c r="T49" i="2"/>
  <c r="R49" i="2"/>
  <c r="N49" i="2"/>
  <c r="P49" i="2" s="1"/>
  <c r="M49" i="2"/>
  <c r="O49" i="2" s="1"/>
  <c r="K49" i="2"/>
  <c r="J49" i="2"/>
  <c r="I49" i="2"/>
  <c r="H49" i="2"/>
  <c r="G49" i="2"/>
  <c r="E49" i="2"/>
  <c r="F49" i="2" s="1"/>
  <c r="K48" i="2"/>
  <c r="J48" i="2"/>
  <c r="I48" i="2"/>
  <c r="H48" i="2"/>
  <c r="N48" i="2" s="1"/>
  <c r="P48" i="2" s="1"/>
  <c r="G48" i="2"/>
  <c r="M48" i="2" s="1"/>
  <c r="O48" i="2" s="1"/>
  <c r="F48" i="2"/>
  <c r="E48" i="2"/>
  <c r="K47" i="2"/>
  <c r="J47" i="2"/>
  <c r="I47" i="2"/>
  <c r="H47" i="2"/>
  <c r="N47" i="2" s="1"/>
  <c r="P47" i="2" s="1"/>
  <c r="G47" i="2"/>
  <c r="M47" i="2" s="1"/>
  <c r="O47" i="2" s="1"/>
  <c r="E47" i="2"/>
  <c r="F47" i="2" s="1"/>
  <c r="R46" i="2"/>
  <c r="T46" i="2" s="1"/>
  <c r="K46" i="2"/>
  <c r="J46" i="2"/>
  <c r="I46" i="2"/>
  <c r="H46" i="2"/>
  <c r="N46" i="2" s="1"/>
  <c r="P46" i="2" s="1"/>
  <c r="G46" i="2"/>
  <c r="M46" i="2" s="1"/>
  <c r="O46" i="2" s="1"/>
  <c r="E46" i="2"/>
  <c r="F46" i="2" s="1"/>
  <c r="P45" i="2"/>
  <c r="N45" i="2"/>
  <c r="M45" i="2"/>
  <c r="O45" i="2" s="1"/>
  <c r="K45" i="2"/>
  <c r="J45" i="2"/>
  <c r="I45" i="2"/>
  <c r="H45" i="2"/>
  <c r="G45" i="2"/>
  <c r="F45" i="2"/>
  <c r="E45" i="2"/>
  <c r="N44" i="2"/>
  <c r="P44" i="2" s="1"/>
  <c r="K44" i="2"/>
  <c r="J44" i="2"/>
  <c r="I44" i="2"/>
  <c r="H44" i="2"/>
  <c r="G44" i="2"/>
  <c r="M44" i="2" s="1"/>
  <c r="O44" i="2" s="1"/>
  <c r="E44" i="2"/>
  <c r="F44" i="2" s="1"/>
  <c r="K43" i="2"/>
  <c r="J43" i="2"/>
  <c r="I43" i="2"/>
  <c r="H43" i="2"/>
  <c r="M43" i="2" s="1"/>
  <c r="O43" i="2" s="1"/>
  <c r="G43" i="2"/>
  <c r="E43" i="2"/>
  <c r="F43" i="2" s="1"/>
  <c r="R42" i="2"/>
  <c r="T42" i="2" s="1"/>
  <c r="N42" i="2"/>
  <c r="P42" i="2" s="1"/>
  <c r="M42" i="2"/>
  <c r="O42" i="2" s="1"/>
  <c r="K42" i="2"/>
  <c r="J42" i="2"/>
  <c r="I42" i="2"/>
  <c r="H42" i="2"/>
  <c r="G42" i="2"/>
  <c r="E42" i="2"/>
  <c r="F42" i="2" s="1"/>
  <c r="K41" i="2"/>
  <c r="J41" i="2"/>
  <c r="I41" i="2"/>
  <c r="H41" i="2"/>
  <c r="N41" i="2" s="1"/>
  <c r="P41" i="2" s="1"/>
  <c r="G41" i="2"/>
  <c r="M41" i="2" s="1"/>
  <c r="O41" i="2" s="1"/>
  <c r="E41" i="2"/>
  <c r="F41" i="2" s="1"/>
  <c r="K40" i="2"/>
  <c r="J40" i="2"/>
  <c r="I40" i="2"/>
  <c r="H40" i="2"/>
  <c r="N40" i="2" s="1"/>
  <c r="P40" i="2" s="1"/>
  <c r="G40" i="2"/>
  <c r="M40" i="2" s="1"/>
  <c r="O40" i="2" s="1"/>
  <c r="E40" i="2"/>
  <c r="F40" i="2" s="1"/>
  <c r="N39" i="2"/>
  <c r="P39" i="2" s="1"/>
  <c r="K39" i="2"/>
  <c r="J39" i="2"/>
  <c r="I39" i="2"/>
  <c r="H39" i="2"/>
  <c r="G39" i="2"/>
  <c r="M39" i="2" s="1"/>
  <c r="O39" i="2" s="1"/>
  <c r="F39" i="2"/>
  <c r="E39" i="2"/>
  <c r="R38" i="2"/>
  <c r="T38" i="2" s="1"/>
  <c r="P38" i="2"/>
  <c r="N38" i="2"/>
  <c r="M38" i="2"/>
  <c r="O38" i="2" s="1"/>
  <c r="K38" i="2"/>
  <c r="J38" i="2"/>
  <c r="I38" i="2"/>
  <c r="H38" i="2"/>
  <c r="G38" i="2"/>
  <c r="F38" i="2"/>
  <c r="E38" i="2"/>
  <c r="K37" i="2"/>
  <c r="J37" i="2"/>
  <c r="I37" i="2"/>
  <c r="H37" i="2"/>
  <c r="N37" i="2" s="1"/>
  <c r="P37" i="2" s="1"/>
  <c r="G37" i="2"/>
  <c r="M37" i="2" s="1"/>
  <c r="O37" i="2" s="1"/>
  <c r="E37" i="2"/>
  <c r="F37" i="2" s="1"/>
  <c r="N36" i="2"/>
  <c r="P36" i="2" s="1"/>
  <c r="K36" i="2"/>
  <c r="J36" i="2"/>
  <c r="I36" i="2"/>
  <c r="H36" i="2"/>
  <c r="G36" i="2"/>
  <c r="M36" i="2" s="1"/>
  <c r="O36" i="2" s="1"/>
  <c r="E36" i="2"/>
  <c r="F36" i="2" s="1"/>
  <c r="N35" i="2"/>
  <c r="P35" i="2" s="1"/>
  <c r="M35" i="2"/>
  <c r="O35" i="2" s="1"/>
  <c r="K35" i="2"/>
  <c r="J35" i="2"/>
  <c r="I35" i="2"/>
  <c r="H35" i="2"/>
  <c r="G35" i="2"/>
  <c r="E35" i="2"/>
  <c r="F35" i="2" s="1"/>
  <c r="T34" i="2"/>
  <c r="R34" i="2"/>
  <c r="K34" i="2"/>
  <c r="J34" i="2"/>
  <c r="I34" i="2"/>
  <c r="H34" i="2"/>
  <c r="M34" i="2" s="1"/>
  <c r="O34" i="2" s="1"/>
  <c r="G34" i="2"/>
  <c r="E34" i="2"/>
  <c r="F34" i="2" s="1"/>
  <c r="K33" i="2"/>
  <c r="J33" i="2"/>
  <c r="I33" i="2"/>
  <c r="H33" i="2"/>
  <c r="N33" i="2" s="1"/>
  <c r="P33" i="2" s="1"/>
  <c r="G33" i="2"/>
  <c r="E33" i="2"/>
  <c r="F33" i="2" s="1"/>
  <c r="K32" i="2"/>
  <c r="J32" i="2"/>
  <c r="I32" i="2"/>
  <c r="H32" i="2"/>
  <c r="N32" i="2" s="1"/>
  <c r="P32" i="2" s="1"/>
  <c r="G32" i="2"/>
  <c r="M32" i="2" s="1"/>
  <c r="O32" i="2" s="1"/>
  <c r="E32" i="2"/>
  <c r="F32" i="2" s="1"/>
  <c r="R31" i="2"/>
  <c r="T31" i="2" s="1"/>
  <c r="N31" i="2"/>
  <c r="P31" i="2" s="1"/>
  <c r="M31" i="2"/>
  <c r="O31" i="2" s="1"/>
  <c r="K31" i="2"/>
  <c r="J31" i="2"/>
  <c r="I31" i="2"/>
  <c r="H31" i="2"/>
  <c r="G31" i="2"/>
  <c r="E31" i="2"/>
  <c r="F31" i="2" s="1"/>
  <c r="K30" i="2"/>
  <c r="J30" i="2"/>
  <c r="I30" i="2"/>
  <c r="H30" i="2"/>
  <c r="N30" i="2" s="1"/>
  <c r="P30" i="2" s="1"/>
  <c r="G30" i="2"/>
  <c r="M30" i="2" s="1"/>
  <c r="O30" i="2" s="1"/>
  <c r="F30" i="2"/>
  <c r="E30" i="2"/>
  <c r="K29" i="2"/>
  <c r="J29" i="2"/>
  <c r="I29" i="2"/>
  <c r="H29" i="2"/>
  <c r="N29" i="2" s="1"/>
  <c r="P29" i="2" s="1"/>
  <c r="G29" i="2"/>
  <c r="M29" i="2" s="1"/>
  <c r="O29" i="2" s="1"/>
  <c r="F29" i="2"/>
  <c r="E29" i="2"/>
  <c r="T28" i="2"/>
  <c r="R28" i="2"/>
  <c r="K28" i="2"/>
  <c r="J28" i="2"/>
  <c r="I28" i="2"/>
  <c r="H28" i="2"/>
  <c r="N28" i="2" s="1"/>
  <c r="P28" i="2" s="1"/>
  <c r="G28" i="2"/>
  <c r="M28" i="2" s="1"/>
  <c r="O28" i="2" s="1"/>
  <c r="E28" i="2"/>
  <c r="F28" i="2" s="1"/>
  <c r="P27" i="2"/>
  <c r="O27" i="2"/>
  <c r="N27" i="2"/>
  <c r="M27" i="2"/>
  <c r="K27" i="2"/>
  <c r="J27" i="2"/>
  <c r="I27" i="2"/>
  <c r="H27" i="2"/>
  <c r="G27" i="2"/>
  <c r="F27" i="2"/>
  <c r="E27" i="2"/>
  <c r="N26" i="2"/>
  <c r="P26" i="2" s="1"/>
  <c r="K26" i="2"/>
  <c r="J26" i="2"/>
  <c r="I26" i="2"/>
  <c r="H26" i="2"/>
  <c r="G26" i="2"/>
  <c r="M26" i="2" s="1"/>
  <c r="O26" i="2" s="1"/>
  <c r="E26" i="2"/>
  <c r="F26" i="2" s="1"/>
  <c r="T25" i="2"/>
  <c r="R25" i="2"/>
  <c r="K25" i="2"/>
  <c r="J25" i="2"/>
  <c r="I25" i="2"/>
  <c r="H25" i="2"/>
  <c r="N25" i="2" s="1"/>
  <c r="P25" i="2" s="1"/>
  <c r="G25" i="2"/>
  <c r="M25" i="2" s="1"/>
  <c r="O25" i="2" s="1"/>
  <c r="F25" i="2"/>
  <c r="E25" i="2"/>
  <c r="N24" i="2"/>
  <c r="P24" i="2" s="1"/>
  <c r="M24" i="2"/>
  <c r="O24" i="2" s="1"/>
  <c r="K24" i="2"/>
  <c r="J24" i="2"/>
  <c r="I24" i="2"/>
  <c r="H24" i="2"/>
  <c r="G24" i="2"/>
  <c r="E24" i="2"/>
  <c r="F24" i="2" s="1"/>
  <c r="R23" i="2"/>
  <c r="T23" i="2" s="1"/>
  <c r="P23" i="2"/>
  <c r="O23" i="2"/>
  <c r="N23" i="2"/>
  <c r="M23" i="2"/>
  <c r="K23" i="2"/>
  <c r="J23" i="2"/>
  <c r="I23" i="2"/>
  <c r="H23" i="2"/>
  <c r="G23" i="2"/>
  <c r="F23" i="2"/>
  <c r="E23" i="2"/>
  <c r="N22" i="2"/>
  <c r="P22" i="2" s="1"/>
  <c r="M22" i="2"/>
  <c r="O22" i="2" s="1"/>
  <c r="K22" i="2"/>
  <c r="J22" i="2"/>
  <c r="I22" i="2"/>
  <c r="H22" i="2"/>
  <c r="G22" i="2"/>
  <c r="E22" i="2"/>
  <c r="F22" i="2" s="1"/>
  <c r="K21" i="2"/>
  <c r="J21" i="2"/>
  <c r="I21" i="2"/>
  <c r="H21" i="2"/>
  <c r="N21" i="2" s="1"/>
  <c r="P21" i="2" s="1"/>
  <c r="G21" i="2"/>
  <c r="M21" i="2" s="1"/>
  <c r="O21" i="2" s="1"/>
  <c r="E21" i="2"/>
  <c r="F21" i="2" s="1"/>
  <c r="T20" i="2"/>
  <c r="R20" i="2"/>
  <c r="N20" i="2"/>
  <c r="P20" i="2" s="1"/>
  <c r="M20" i="2"/>
  <c r="O20" i="2" s="1"/>
  <c r="K20" i="2"/>
  <c r="J20" i="2"/>
  <c r="I20" i="2"/>
  <c r="H20" i="2"/>
  <c r="G20" i="2"/>
  <c r="E20" i="2"/>
  <c r="F20" i="2" s="1"/>
  <c r="K19" i="2"/>
  <c r="J19" i="2"/>
  <c r="I19" i="2"/>
  <c r="H19" i="2"/>
  <c r="N19" i="2" s="1"/>
  <c r="P19" i="2" s="1"/>
  <c r="G19" i="2"/>
  <c r="M19" i="2" s="1"/>
  <c r="O19" i="2" s="1"/>
  <c r="E19" i="2"/>
  <c r="F19" i="2" s="1"/>
  <c r="T18" i="2"/>
  <c r="R18" i="2"/>
  <c r="N18" i="2"/>
  <c r="P18" i="2" s="1"/>
  <c r="M18" i="2"/>
  <c r="O18" i="2" s="1"/>
  <c r="K18" i="2"/>
  <c r="J18" i="2"/>
  <c r="I18" i="2"/>
  <c r="H18" i="2"/>
  <c r="G18" i="2"/>
  <c r="E18" i="2"/>
  <c r="F18" i="2" s="1"/>
  <c r="K17" i="2"/>
  <c r="J17" i="2"/>
  <c r="I17" i="2"/>
  <c r="H17" i="2"/>
  <c r="N17" i="2" s="1"/>
  <c r="P17" i="2" s="1"/>
  <c r="G17" i="2"/>
  <c r="M17" i="2" s="1"/>
  <c r="O17" i="2" s="1"/>
  <c r="E17" i="2"/>
  <c r="F17" i="2" s="1"/>
  <c r="T16" i="2"/>
  <c r="R16" i="2"/>
  <c r="N16" i="2"/>
  <c r="P16" i="2" s="1"/>
  <c r="M16" i="2"/>
  <c r="O16" i="2" s="1"/>
  <c r="K16" i="2"/>
  <c r="J16" i="2"/>
  <c r="I16" i="2"/>
  <c r="H16" i="2"/>
  <c r="G16" i="2"/>
  <c r="E16" i="2"/>
  <c r="F16" i="2" s="1"/>
  <c r="K15" i="2"/>
  <c r="J15" i="2"/>
  <c r="I15" i="2"/>
  <c r="H15" i="2"/>
  <c r="N15" i="2" s="1"/>
  <c r="P15" i="2" s="1"/>
  <c r="G15" i="2"/>
  <c r="M15" i="2" s="1"/>
  <c r="O15" i="2" s="1"/>
  <c r="E15" i="2"/>
  <c r="F15" i="2" s="1"/>
  <c r="T14" i="2"/>
  <c r="R14" i="2"/>
  <c r="N14" i="2"/>
  <c r="P14" i="2" s="1"/>
  <c r="M14" i="2"/>
  <c r="O14" i="2" s="1"/>
  <c r="K14" i="2"/>
  <c r="J14" i="2"/>
  <c r="I14" i="2"/>
  <c r="H14" i="2"/>
  <c r="G14" i="2"/>
  <c r="E14" i="2"/>
  <c r="F14" i="2" s="1"/>
  <c r="K13" i="2"/>
  <c r="J13" i="2"/>
  <c r="I13" i="2"/>
  <c r="H13" i="2"/>
  <c r="N13" i="2" s="1"/>
  <c r="P13" i="2" s="1"/>
  <c r="G13" i="2"/>
  <c r="M13" i="2" s="1"/>
  <c r="O13" i="2" s="1"/>
  <c r="E13" i="2"/>
  <c r="F13" i="2" s="1"/>
  <c r="T12" i="2"/>
  <c r="R12" i="2"/>
  <c r="N12" i="2"/>
  <c r="P12" i="2" s="1"/>
  <c r="M12" i="2"/>
  <c r="O12" i="2" s="1"/>
  <c r="K12" i="2"/>
  <c r="J12" i="2"/>
  <c r="I12" i="2"/>
  <c r="H12" i="2"/>
  <c r="G12" i="2"/>
  <c r="E12" i="2"/>
  <c r="F12" i="2" s="1"/>
  <c r="K11" i="2"/>
  <c r="J11" i="2"/>
  <c r="I11" i="2"/>
  <c r="H11" i="2"/>
  <c r="N11" i="2" s="1"/>
  <c r="P11" i="2" s="1"/>
  <c r="G11" i="2"/>
  <c r="M11" i="2" s="1"/>
  <c r="O11" i="2" s="1"/>
  <c r="E11" i="2"/>
  <c r="F11" i="2" s="1"/>
  <c r="T10" i="2"/>
  <c r="R10" i="2"/>
  <c r="N10" i="2"/>
  <c r="P10" i="2" s="1"/>
  <c r="M10" i="2"/>
  <c r="O10" i="2" s="1"/>
  <c r="K10" i="2"/>
  <c r="J10" i="2"/>
  <c r="I10" i="2"/>
  <c r="H10" i="2"/>
  <c r="G10" i="2"/>
  <c r="E10" i="2"/>
  <c r="F10" i="2" s="1"/>
  <c r="K9" i="2"/>
  <c r="J9" i="2"/>
  <c r="I9" i="2"/>
  <c r="H9" i="2"/>
  <c r="N9" i="2" s="1"/>
  <c r="P9" i="2" s="1"/>
  <c r="G9" i="2"/>
  <c r="M9" i="2" s="1"/>
  <c r="O9" i="2" s="1"/>
  <c r="E9" i="2"/>
  <c r="F9" i="2" s="1"/>
  <c r="T8" i="2"/>
  <c r="R8" i="2"/>
  <c r="N8" i="2"/>
  <c r="P8" i="2" s="1"/>
  <c r="M8" i="2"/>
  <c r="O8" i="2" s="1"/>
  <c r="K8" i="2"/>
  <c r="J8" i="2"/>
  <c r="I8" i="2"/>
  <c r="H8" i="2"/>
  <c r="G8" i="2"/>
  <c r="E8" i="2"/>
  <c r="F8" i="2" s="1"/>
  <c r="K3" i="3" l="1"/>
  <c r="M3" i="3" s="1"/>
  <c r="K19" i="3"/>
  <c r="M19" i="3" s="1"/>
  <c r="K6" i="3"/>
  <c r="M6" i="3" s="1"/>
  <c r="K22" i="3"/>
  <c r="M22" i="3" s="1"/>
  <c r="K9" i="3"/>
  <c r="M9" i="3" s="1"/>
  <c r="K15" i="3"/>
  <c r="M15" i="3" s="1"/>
  <c r="K2" i="3"/>
  <c r="M2" i="3" s="1"/>
  <c r="K18" i="3"/>
  <c r="M18" i="3" s="1"/>
  <c r="K5" i="3"/>
  <c r="M5" i="3" s="1"/>
  <c r="K21" i="3"/>
  <c r="M21" i="3" s="1"/>
  <c r="K8" i="3"/>
  <c r="M8" i="3" s="1"/>
  <c r="K24" i="3"/>
  <c r="M24" i="3" s="1"/>
  <c r="K11" i="3"/>
  <c r="M11" i="3" s="1"/>
  <c r="N34" i="2"/>
  <c r="P34" i="2" s="1"/>
  <c r="M33" i="2"/>
  <c r="O33" i="2" s="1"/>
  <c r="N43" i="2"/>
  <c r="P43" i="2" s="1"/>
  <c r="N57" i="2"/>
  <c r="P57" i="2" s="1"/>
  <c r="N75" i="2"/>
  <c r="P75" i="2" s="1"/>
  <c r="M96" i="2"/>
  <c r="O96" i="2" s="1"/>
  <c r="M110" i="2"/>
  <c r="O110" i="2" s="1"/>
  <c r="M116" i="2"/>
  <c r="O116" i="2" s="1"/>
  <c r="M52" i="2"/>
  <c r="O52" i="2" s="1"/>
  <c r="M70" i="2"/>
  <c r="O70" i="2" s="1"/>
  <c r="M84" i="2"/>
  <c r="O84" i="2" s="1"/>
  <c r="M105" i="2"/>
  <c r="O105" i="2" s="1"/>
</calcChain>
</file>

<file path=xl/sharedStrings.xml><?xml version="1.0" encoding="utf-8"?>
<sst xmlns="http://schemas.openxmlformats.org/spreadsheetml/2006/main" count="2161" uniqueCount="778">
  <si>
    <t>BOLT METRIC DATA</t>
  </si>
  <si>
    <t>Interpolado</t>
  </si>
  <si>
    <t>Bolt type</t>
  </si>
  <si>
    <t>D</t>
  </si>
  <si>
    <t>p</t>
  </si>
  <si>
    <t>H</t>
  </si>
  <si>
    <t>r</t>
  </si>
  <si>
    <t>d2</t>
  </si>
  <si>
    <t>d3</t>
  </si>
  <si>
    <t>D1</t>
  </si>
  <si>
    <t>h3</t>
  </si>
  <si>
    <t>H1</t>
  </si>
  <si>
    <t>Tap drill diam</t>
  </si>
  <si>
    <t>ds</t>
  </si>
  <si>
    <t>dsm</t>
  </si>
  <si>
    <t>As</t>
  </si>
  <si>
    <t>Asm</t>
  </si>
  <si>
    <t>Tolerance Tap drill diam</t>
  </si>
  <si>
    <t xml:space="preserve">Dh </t>
  </si>
  <si>
    <t>Dhead (*)</t>
  </si>
  <si>
    <t>Duh</t>
  </si>
  <si>
    <t>(*) ISO 4762 - Hexagon Socket Head Cap Screws</t>
  </si>
  <si>
    <t>M1</t>
  </si>
  <si>
    <t>medium (H13)</t>
  </si>
  <si>
    <t>M1.6</t>
  </si>
  <si>
    <t>fine (H12)</t>
  </si>
  <si>
    <t>M2</t>
  </si>
  <si>
    <t>M2.5</t>
  </si>
  <si>
    <t>M3</t>
  </si>
  <si>
    <t>M3.5</t>
  </si>
  <si>
    <t>M4</t>
  </si>
  <si>
    <t>M5</t>
  </si>
  <si>
    <t>M6</t>
  </si>
  <si>
    <t>M7</t>
  </si>
  <si>
    <t>M8</t>
  </si>
  <si>
    <t>M10</t>
  </si>
  <si>
    <t>M12</t>
  </si>
  <si>
    <t>M14</t>
  </si>
  <si>
    <t>M16</t>
  </si>
  <si>
    <t>M18</t>
  </si>
  <si>
    <t>M20</t>
  </si>
  <si>
    <t>M22</t>
  </si>
  <si>
    <t>M24</t>
  </si>
  <si>
    <t>M27</t>
  </si>
  <si>
    <t>M30</t>
  </si>
  <si>
    <t>M33</t>
  </si>
  <si>
    <t>M36</t>
  </si>
  <si>
    <t>(*) ISO 4762  - 2004 Hexagon Socket Head Cap Screws</t>
  </si>
  <si>
    <t>M39</t>
  </si>
  <si>
    <t>M42</t>
  </si>
  <si>
    <t>M45</t>
  </si>
  <si>
    <t>M48</t>
  </si>
  <si>
    <t>M52</t>
  </si>
  <si>
    <t>M56</t>
  </si>
  <si>
    <t>M60</t>
  </si>
  <si>
    <t>M64</t>
  </si>
  <si>
    <t>M68</t>
  </si>
  <si>
    <t>r mean</t>
  </si>
  <si>
    <t>MJ1.6</t>
  </si>
  <si>
    <t>MJ2</t>
  </si>
  <si>
    <t>MJ2.5</t>
  </si>
  <si>
    <t>MJ3</t>
  </si>
  <si>
    <t>MJ3.5</t>
  </si>
  <si>
    <t>MJ4</t>
  </si>
  <si>
    <t>MJ5</t>
  </si>
  <si>
    <t>MJ6</t>
  </si>
  <si>
    <t>MJ7</t>
  </si>
  <si>
    <t>MJ8</t>
  </si>
  <si>
    <t>MJ10</t>
  </si>
  <si>
    <t>MJ12</t>
  </si>
  <si>
    <t>MJ14</t>
  </si>
  <si>
    <t>MJ16</t>
  </si>
  <si>
    <t>MJ18</t>
  </si>
  <si>
    <t>MJ20</t>
  </si>
  <si>
    <t>MJ22</t>
  </si>
  <si>
    <t>MJ24</t>
  </si>
  <si>
    <t>MJ27</t>
  </si>
  <si>
    <t>MJ30</t>
  </si>
  <si>
    <t>MJ33</t>
  </si>
  <si>
    <t>MJ36</t>
  </si>
  <si>
    <t>MJ39</t>
  </si>
  <si>
    <t>dk</t>
  </si>
  <si>
    <t>sk</t>
  </si>
  <si>
    <t>tk</t>
  </si>
  <si>
    <t>b</t>
  </si>
  <si>
    <t>k</t>
  </si>
  <si>
    <t>l</t>
  </si>
  <si>
    <t>P</t>
  </si>
  <si>
    <t>D2</t>
  </si>
  <si>
    <t>ka</t>
  </si>
  <si>
    <t>y</t>
  </si>
  <si>
    <t>B</t>
  </si>
  <si>
    <t>t2</t>
  </si>
  <si>
    <t>Dhc</t>
  </si>
  <si>
    <t>D1hc</t>
  </si>
  <si>
    <t>D2hc</t>
  </si>
  <si>
    <t>t1</t>
  </si>
  <si>
    <t>d comienzo helicoil en agujero</t>
  </si>
  <si>
    <t>w</t>
  </si>
  <si>
    <t>Da</t>
  </si>
  <si>
    <t>pieza superior</t>
  </si>
  <si>
    <t>pieza inferior</t>
  </si>
  <si>
    <t>j</t>
  </si>
  <si>
    <t>espesor pieza 2</t>
  </si>
  <si>
    <t>t3max</t>
  </si>
  <si>
    <r>
      <t>dk</t>
    </r>
    <r>
      <rPr>
        <sz val="11"/>
        <color theme="1"/>
        <rFont val="Calibri"/>
        <family val="2"/>
        <scheme val="minor"/>
      </rPr>
      <t>: Diámetro de la cabeza del tornillo.</t>
    </r>
  </si>
  <si>
    <r>
      <t>sk</t>
    </r>
    <r>
      <rPr>
        <sz val="11"/>
        <color theme="1"/>
        <rFont val="Calibri"/>
        <family val="2"/>
        <scheme val="minor"/>
      </rPr>
      <t>: Altura de la cabeza del tornillo.</t>
    </r>
  </si>
  <si>
    <r>
      <t>tk</t>
    </r>
    <r>
      <rPr>
        <sz val="11"/>
        <color theme="1"/>
        <rFont val="Calibri"/>
        <family val="2"/>
        <scheme val="minor"/>
      </rPr>
      <t>: Profundidad de inserción de la cabeza del tornillo.</t>
    </r>
  </si>
  <si>
    <r>
      <t>b</t>
    </r>
    <r>
      <rPr>
        <sz val="11"/>
        <color theme="1"/>
        <rFont val="Calibri"/>
        <family val="2"/>
        <scheme val="minor"/>
      </rPr>
      <t>: Longitud de la parte roscada del tornillo.</t>
    </r>
  </si>
  <si>
    <r>
      <t>k</t>
    </r>
    <r>
      <rPr>
        <sz val="11"/>
        <color theme="1"/>
        <rFont val="Calibri"/>
        <family val="2"/>
        <scheme val="minor"/>
      </rPr>
      <t>: Altura de la parte roscada o altura de la cabeza.</t>
    </r>
  </si>
  <si>
    <r>
      <t>l</t>
    </r>
    <r>
      <rPr>
        <sz val="11"/>
        <color theme="1"/>
        <rFont val="Calibri"/>
        <family val="2"/>
        <scheme val="minor"/>
      </rPr>
      <t>: Longitud total del tornillo (incluyendo cabeza y parte roscada).</t>
    </r>
  </si>
  <si>
    <r>
      <t>P</t>
    </r>
    <r>
      <rPr>
        <sz val="11"/>
        <color theme="1"/>
        <rFont val="Calibri"/>
        <family val="2"/>
        <scheme val="minor"/>
      </rPr>
      <t>: Paso de la rosca (distancia entre los filetes consecutivos de la rosca).</t>
    </r>
  </si>
  <si>
    <r>
      <t>D1</t>
    </r>
    <r>
      <rPr>
        <sz val="11"/>
        <color theme="1"/>
        <rFont val="Calibri"/>
        <family val="2"/>
        <scheme val="minor"/>
      </rPr>
      <t>: Diámetro del núcleo (diámetro menor de la rosca).</t>
    </r>
  </si>
  <si>
    <r>
      <t>D2</t>
    </r>
    <r>
      <rPr>
        <sz val="11"/>
        <color theme="1"/>
        <rFont val="Calibri"/>
        <family val="2"/>
        <scheme val="minor"/>
      </rPr>
      <t>: Diámetro del flanco de la rosca (intermedio entre D1 y el diámetro exterior).</t>
    </r>
  </si>
  <si>
    <r>
      <t>r</t>
    </r>
    <r>
      <rPr>
        <sz val="11"/>
        <color theme="1"/>
        <rFont val="Calibri"/>
        <family val="2"/>
        <scheme val="minor"/>
      </rPr>
      <t>: Radio de la curvatura en la transición entre la cabeza y el vástago.</t>
    </r>
  </si>
  <si>
    <r>
      <t>ka</t>
    </r>
    <r>
      <rPr>
        <sz val="11"/>
        <color theme="1"/>
        <rFont val="Calibri"/>
        <family val="2"/>
        <scheme val="minor"/>
      </rPr>
      <t>: Conicidad o ángulo de la base de la cabeza.</t>
    </r>
  </si>
  <si>
    <r>
      <t>y</t>
    </r>
    <r>
      <rPr>
        <sz val="11"/>
        <color theme="1"/>
        <rFont val="Calibri"/>
        <family val="2"/>
        <scheme val="minor"/>
      </rPr>
      <t>: Distancia desde la superficie hasta la cabeza del tornillo (profundidad de asentamiento).</t>
    </r>
  </si>
  <si>
    <r>
      <t>B</t>
    </r>
    <r>
      <rPr>
        <sz val="11"/>
        <color theme="1"/>
        <rFont val="Calibri"/>
        <family val="2"/>
        <scheme val="minor"/>
      </rPr>
      <t>: Ancho de la superficie de apoyo debajo de la cabeza.</t>
    </r>
  </si>
  <si>
    <r>
      <t>t2</t>
    </r>
    <r>
      <rPr>
        <sz val="11"/>
        <color theme="1"/>
        <rFont val="Calibri"/>
        <family val="2"/>
        <scheme val="minor"/>
      </rPr>
      <t>: Espesor de la pieza en la que se inserta el tornillo.</t>
    </r>
  </si>
  <si>
    <r>
      <t>t3max</t>
    </r>
    <r>
      <rPr>
        <sz val="11"/>
        <color theme="1"/>
        <rFont val="Calibri"/>
        <family val="2"/>
        <scheme val="minor"/>
      </rPr>
      <t>: Espesor máximo de una pieza que puede atravesar el tornillo.</t>
    </r>
  </si>
  <si>
    <r>
      <t>Dhc</t>
    </r>
    <r>
      <rPr>
        <sz val="11"/>
        <color theme="1"/>
        <rFont val="Calibri"/>
        <family val="2"/>
        <scheme val="minor"/>
      </rPr>
      <t>: Diámetro exterior del helicoil (cuando está comprimido).</t>
    </r>
  </si>
  <si>
    <r>
      <t>D1hc</t>
    </r>
    <r>
      <rPr>
        <sz val="11"/>
        <color theme="1"/>
        <rFont val="Calibri"/>
        <family val="2"/>
        <scheme val="minor"/>
      </rPr>
      <t>: Diámetro interior del helicoil.</t>
    </r>
  </si>
  <si>
    <r>
      <t>D2hc</t>
    </r>
    <r>
      <rPr>
        <sz val="11"/>
        <color theme="1"/>
        <rFont val="Calibri"/>
        <family val="2"/>
        <scheme val="minor"/>
      </rPr>
      <t>: Diámetro exterior del helicoil después de la instalación.</t>
    </r>
  </si>
  <si>
    <r>
      <t>t1</t>
    </r>
    <r>
      <rPr>
        <sz val="11"/>
        <color theme="1"/>
        <rFont val="Calibri"/>
        <family val="2"/>
        <scheme val="minor"/>
      </rPr>
      <t>: Profundidad mínima requerida del agujero para instalar el helicoil.</t>
    </r>
  </si>
  <si>
    <r>
      <t>d comienzo helicoil en agujero</t>
    </r>
    <r>
      <rPr>
        <sz val="11"/>
        <color theme="1"/>
        <rFont val="Calibri"/>
        <family val="2"/>
        <scheme val="minor"/>
      </rPr>
      <t>: Distancia inicial entre la parte superior del helicoil y el borde del agujero (cuando comienza la inserción).</t>
    </r>
  </si>
  <si>
    <r>
      <t>w</t>
    </r>
    <r>
      <rPr>
        <sz val="11"/>
        <color theme="1"/>
        <rFont val="Calibri"/>
        <family val="2"/>
        <scheme val="minor"/>
      </rPr>
      <t>: Longitud total del helicoil.</t>
    </r>
  </si>
  <si>
    <r>
      <t>Da</t>
    </r>
    <r>
      <rPr>
        <sz val="11"/>
        <color theme="1"/>
        <rFont val="Calibri"/>
        <family val="2"/>
        <scheme val="minor"/>
      </rPr>
      <t>: Diámetro exterior del agujero roscado para el helicoil antes de la instalación.</t>
    </r>
  </si>
  <si>
    <t>TORNILLOS</t>
  </si>
  <si>
    <t>HELICOIL</t>
  </si>
  <si>
    <t>Parámetros Adicionales</t>
  </si>
  <si>
    <r>
      <t>pieza superior</t>
    </r>
    <r>
      <rPr>
        <sz val="11"/>
        <color theme="1"/>
        <rFont val="Calibri"/>
        <family val="2"/>
        <scheme val="minor"/>
      </rPr>
      <t>: La primera pieza que atraviesa el tornillo.</t>
    </r>
  </si>
  <si>
    <r>
      <t>pieza inferior</t>
    </r>
    <r>
      <rPr>
        <sz val="11"/>
        <color theme="1"/>
        <rFont val="Calibri"/>
        <family val="2"/>
        <scheme val="minor"/>
      </rPr>
      <t>: La segunda pieza que atraviesa el tornillo.</t>
    </r>
  </si>
  <si>
    <r>
      <t>j</t>
    </r>
    <r>
      <rPr>
        <sz val="11"/>
        <color theme="1"/>
        <rFont val="Calibri"/>
        <family val="2"/>
        <scheme val="minor"/>
      </rPr>
      <t>: Separación o distancia entre las piezas unidas.</t>
    </r>
  </si>
  <si>
    <r>
      <t>espesor pieza 2</t>
    </r>
    <r>
      <rPr>
        <sz val="11"/>
        <color theme="1"/>
        <rFont val="Calibri"/>
        <family val="2"/>
        <scheme val="minor"/>
      </rPr>
      <t>: Grosor de la segunda pieza que atraviesa el tornillo.</t>
    </r>
  </si>
  <si>
    <t>Parametrizado</t>
  </si>
  <si>
    <t>SI</t>
  </si>
  <si>
    <r>
      <t>sk</t>
    </r>
    <r>
      <rPr>
        <sz val="11"/>
        <color theme="1"/>
        <rFont val="Calibri"/>
        <family val="2"/>
        <scheme val="minor"/>
      </rPr>
      <t>: Diámetro hueco interior hexagonal</t>
    </r>
  </si>
  <si>
    <t>t</t>
  </si>
  <si>
    <r>
      <t>t:</t>
    </r>
    <r>
      <rPr>
        <sz val="11"/>
        <color theme="1"/>
        <rFont val="Calibri"/>
        <family val="2"/>
        <scheme val="minor"/>
      </rPr>
      <t xml:space="preserve"> Profundidad de inserción de la cabeza del tornillo.</t>
    </r>
  </si>
  <si>
    <t>?</t>
  </si>
  <si>
    <t>Cabeza Tornillo</t>
  </si>
  <si>
    <t>s</t>
  </si>
  <si>
    <t>EN EL ESQUEMA W es NO hace falta es la resta de k y t</t>
  </si>
  <si>
    <r>
      <t>k</t>
    </r>
    <r>
      <rPr>
        <sz val="11"/>
        <color theme="1"/>
        <rFont val="Calibri"/>
        <family val="2"/>
        <scheme val="minor"/>
      </rPr>
      <t>: altura de la cabeza.</t>
    </r>
  </si>
  <si>
    <t>si</t>
  </si>
  <si>
    <t>CuerpoTornillo</t>
  </si>
  <si>
    <t>Libre</t>
  </si>
  <si>
    <t>no</t>
  </si>
  <si>
    <t>15/28 parametros modificables</t>
  </si>
  <si>
    <r>
      <t>l</t>
    </r>
    <r>
      <rPr>
        <sz val="11"/>
        <color theme="1"/>
        <rFont val="Calibri"/>
        <family val="2"/>
        <scheme val="minor"/>
      </rPr>
      <t>: Longitud del tornillo (solo parte debajo de la cabeza).</t>
    </r>
  </si>
  <si>
    <t>Informacion de ISO-965-1-1998 y DIN 13</t>
  </si>
  <si>
    <t>Table 1</t>
  </si>
  <si>
    <t>Nominal sizes</t>
  </si>
  <si>
    <t>Nominal diameter, d(=D)</t>
  </si>
  <si>
    <t>Pitch, P</t>
  </si>
  <si>
    <t>Pitch diameter</t>
  </si>
  <si>
    <t>Minor diameters,</t>
  </si>
  <si>
    <t>Thread</t>
  </si>
  <si>
    <t>height,</t>
  </si>
  <si>
    <t>Root radius, H</t>
  </si>
  <si>
    <t>Series 1</t>
  </si>
  <si>
    <t>Series2</t>
  </si>
  <si>
    <t>Series 3.</t>
  </si>
  <si>
    <t>d2 (= D2)</t>
  </si>
  <si>
    <t>R=H/6</t>
  </si>
  <si>
    <t>0,25</t>
  </si>
  <si>
    <t>0,838</t>
  </si>
  <si>
    <t>0,693</t>
  </si>
  <si>
    <t>0,729</t>
  </si>
  <si>
    <t>0,153</t>
  </si>
  <si>
    <t>0,135</t>
  </si>
  <si>
    <t>0,036</t>
  </si>
  <si>
    <t>1,1</t>
  </si>
  <si>
    <t>0,938</t>
  </si>
  <si>
    <t>0,793</t>
  </si>
  <si>
    <t>0,829</t>
  </si>
  <si>
    <t>1,2</t>
  </si>
  <si>
    <t>0,893</t>
  </si>
  <si>
    <t>0,929</t>
  </si>
  <si>
    <t>1,4</t>
  </si>
  <si>
    <t>0,3</t>
  </si>
  <si>
    <t>1 ,075</t>
  </si>
  <si>
    <t>0,184</t>
  </si>
  <si>
    <t>0,162</t>
  </si>
  <si>
    <t>0,043</t>
  </si>
  <si>
    <t>1,6</t>
  </si>
  <si>
    <t>0,35</t>
  </si>
  <si>
    <t>0,215</t>
  </si>
  <si>
    <t>0,189</t>
  </si>
  <si>
    <t>0,051</t>
  </si>
  <si>
    <t>1,8</t>
  </si>
  <si>
    <t>0,4</t>
  </si>
  <si>
    <t>0,245</t>
  </si>
  <si>
    <t>0,217</t>
  </si>
  <si>
    <t>0,058</t>
  </si>
  <si>
    <t>2,2</t>
  </si>
  <si>
    <t>0,45</t>
  </si>
  <si>
    <t>0,276</t>
  </si>
  <si>
    <t>0,244</t>
  </si>
  <si>
    <t>0,065</t>
  </si>
  <si>
    <t>2,5</t>
  </si>
  <si>
    <t>0,5</t>
  </si>
  <si>
    <t>0,307</t>
  </si>
  <si>
    <t>0,271</t>
  </si>
  <si>
    <t>0,072</t>
  </si>
  <si>
    <t>3,5</t>
  </si>
  <si>
    <t>0,6</t>
  </si>
  <si>
    <t>0,368</t>
  </si>
  <si>
    <t>0,325</t>
  </si>
  <si>
    <t>0,087</t>
  </si>
  <si>
    <t>0,7</t>
  </si>
  <si>
    <t>0,429</t>
  </si>
  <si>
    <t>0,379</t>
  </si>
  <si>
    <t>0,101</t>
  </si>
  <si>
    <t>4,5</t>
  </si>
  <si>
    <t>0,75</t>
  </si>
  <si>
    <t>0,460</t>
  </si>
  <si>
    <t>0,406</t>
  </si>
  <si>
    <t>0,108</t>
  </si>
  <si>
    <t>0,8</t>
  </si>
  <si>
    <t>0,491</t>
  </si>
  <si>
    <t>0,433</t>
  </si>
  <si>
    <t>0,115</t>
  </si>
  <si>
    <t>0,613</t>
  </si>
  <si>
    <t>0,541</t>
  </si>
  <si>
    <t>0,144</t>
  </si>
  <si>
    <t>1,25</t>
  </si>
  <si>
    <t>0,767</t>
  </si>
  <si>
    <t>0,677</t>
  </si>
  <si>
    <t>0,180</t>
  </si>
  <si>
    <t>0,920</t>
  </si>
  <si>
    <t>0,812</t>
  </si>
  <si>
    <t>1,75</t>
  </si>
  <si>
    <t>0,947</t>
  </si>
  <si>
    <t>0,253</t>
  </si>
  <si>
    <t>1 ,083</t>
  </si>
  <si>
    <t>0,289</t>
  </si>
  <si>
    <t>0,361</t>
  </si>
  <si>
    <t>26,21 1</t>
  </si>
  <si>
    <t>0,505</t>
  </si>
  <si>
    <t>29,21 1</t>
  </si>
  <si>
    <t>0,577</t>
  </si>
  <si>
    <t>0,650</t>
  </si>
  <si>
    <t>0,722</t>
  </si>
  <si>
    <t>0,794</t>
  </si>
  <si>
    <t>0,866</t>
  </si>
  <si>
    <t>1,5</t>
  </si>
  <si>
    <t>5,5</t>
  </si>
  <si>
    <t>Fundamental deviations for internal threads and external threads</t>
  </si>
  <si>
    <t>Pitch</t>
  </si>
  <si>
    <t>Fundamental deviation</t>
  </si>
  <si>
    <t>Internal thread</t>
  </si>
  <si>
    <t>External thread d. d.</t>
  </si>
  <si>
    <t>G</t>
  </si>
  <si>
    <t>H El</t>
  </si>
  <si>
    <t>h</t>
  </si>
  <si>
    <t>pm</t>
  </si>
  <si>
    <t>mm</t>
  </si>
  <si>
    <t>Diámetro 2)</t>
  </si>
  <si>
    <t>Sección del</t>
  </si>
  <si>
    <t>Sección resistente</t>
  </si>
  <si>
    <t>O interior</t>
  </si>
  <si>
    <t>nominal</t>
  </si>
  <si>
    <t>Paso</t>
  </si>
  <si>
    <t>Diámetro exterior</t>
  </si>
  <si>
    <t>Diámetro sobre flancos</t>
  </si>
  <si>
    <t>Diámetro interior</t>
  </si>
  <si>
    <t>1/4 d32</t>
  </si>
  <si>
    <t>B=D</t>
  </si>
  <si>
    <t>(d2+d3)2/2A mm</t>
  </si>
  <si>
    <t>A</t>
  </si>
  <si>
    <t>mm2</t>
  </si>
  <si>
    <t>min</t>
  </si>
  <si>
    <t>d</t>
  </si>
  <si>
    <t>máx</t>
  </si>
  <si>
    <t>dmin</t>
  </si>
  <si>
    <t>d2máx</t>
  </si>
  <si>
    <t>d2min</t>
  </si>
  <si>
    <t>d3máx</t>
  </si>
  <si>
    <t>d3min</t>
  </si>
  <si>
    <t>%min</t>
  </si>
  <si>
    <t>D2m„</t>
  </si>
  <si>
    <t>Dlmm</t>
  </si>
  <si>
    <t>Dima</t>
  </si>
  <si>
    <t>1 1)</t>
  </si>
  <si>
    <t>dmax</t>
  </si>
  <si>
    <t>d2max</t>
  </si>
  <si>
    <t>d3max</t>
  </si>
  <si>
    <t>D2min</t>
  </si>
  <si>
    <t>D2max</t>
  </si>
  <si>
    <t>D1min</t>
  </si>
  <si>
    <t>D1max</t>
  </si>
  <si>
    <t>Seccion del interior pi/4 * d3^2. Ad3 mm^2</t>
  </si>
  <si>
    <t>Sección resistente pi/4*(d2+d3)^2/2.  As mm^2</t>
  </si>
  <si>
    <t>Rosca exterior. clase de tolerancia 6gl). Bulones y tornillos</t>
  </si>
  <si>
    <t>Rosca interior. clase de tolerancia 6H l). Tuercas</t>
  </si>
  <si>
    <t>1.1 1)</t>
  </si>
  <si>
    <t>1.2 1)</t>
  </si>
  <si>
    <t>1.4 1)</t>
  </si>
  <si>
    <t>t2min  x d</t>
  </si>
  <si>
    <t>W</t>
  </si>
  <si>
    <t>1.0 d</t>
  </si>
  <si>
    <t>1.5 d</t>
  </si>
  <si>
    <t>2.0 d</t>
  </si>
  <si>
    <t>2.5 d</t>
  </si>
  <si>
    <t>3.0 d</t>
  </si>
  <si>
    <t>Metrica</t>
  </si>
  <si>
    <t>Ad3</t>
  </si>
  <si>
    <t>Fv max (N)</t>
  </si>
  <si>
    <t>As (m2)</t>
  </si>
  <si>
    <t>Asm (m2)</t>
  </si>
  <si>
    <t>Excel</t>
  </si>
  <si>
    <t>Patran</t>
  </si>
  <si>
    <t>Tension Pa As</t>
  </si>
  <si>
    <t>Tension Pa Asm</t>
  </si>
  <si>
    <t xml:space="preserve">Con contorno </t>
  </si>
  <si>
    <t>RBE3</t>
  </si>
  <si>
    <t>min Mpa</t>
  </si>
  <si>
    <t>max Mpa</t>
  </si>
  <si>
    <t>media</t>
  </si>
  <si>
    <t>Area Cilindro Catia</t>
  </si>
  <si>
    <t>Norma Din 13</t>
  </si>
  <si>
    <t>Fv nominal (N)</t>
  </si>
  <si>
    <t>d1_min</t>
  </si>
  <si>
    <t>d1_max</t>
  </si>
  <si>
    <t>D1Hc_min</t>
  </si>
  <si>
    <t>D1Hc_max</t>
  </si>
  <si>
    <t>t3_max</t>
  </si>
  <si>
    <t>DHc_min</t>
  </si>
  <si>
    <t>13,5</t>
  </si>
  <si>
    <t>25,9</t>
  </si>
  <si>
    <t>19,1</t>
  </si>
  <si>
    <t>5,2</t>
  </si>
  <si>
    <t>11,7</t>
  </si>
  <si>
    <t>1테0 결,3</t>
  </si>
  <si>
    <t>19,5</t>
  </si>
  <si>
    <t>예,0</t>
  </si>
  <si>
    <t>15,9</t>
  </si>
  <si>
    <t>74,3</t>
  </si>
  <si>
    <t>지8</t>
  </si>
  <si>
    <t>t2_min</t>
  </si>
  <si>
    <t>cc 123456</t>
  </si>
  <si>
    <t>M</t>
  </si>
  <si>
    <t>Thread d</t>
  </si>
  <si>
    <t>M1,6</t>
  </si>
  <si>
    <t>M2,5</t>
  </si>
  <si>
    <t>(M14)</t>
  </si>
  <si>
    <t>3,00</t>
  </si>
  <si>
    <t>3,80</t>
  </si>
  <si>
    <t>4,50</t>
  </si>
  <si>
    <t>7,00</t>
  </si>
  <si>
    <t>8,50</t>
  </si>
  <si>
    <t>13,00</t>
  </si>
  <si>
    <t>16,00</t>
  </si>
  <si>
    <t>18,00</t>
  </si>
  <si>
    <t>21,00</t>
  </si>
  <si>
    <t>24,00</t>
  </si>
  <si>
    <t>30,00</t>
  </si>
  <si>
    <t>36,00</t>
  </si>
  <si>
    <t>45,00</t>
  </si>
  <si>
    <t>54,00</t>
  </si>
  <si>
    <t>63,00</t>
  </si>
  <si>
    <t>72,00</t>
  </si>
  <si>
    <t>84,00</t>
  </si>
  <si>
    <t>96,00</t>
  </si>
  <si>
    <t>3,14</t>
  </si>
  <si>
    <t>3,98</t>
  </si>
  <si>
    <t>4,68</t>
  </si>
  <si>
    <t>7,22</t>
  </si>
  <si>
    <t>8,72</t>
  </si>
  <si>
    <t>10,22</t>
  </si>
  <si>
    <t>13,27</t>
  </si>
  <si>
    <t>16,27</t>
  </si>
  <si>
    <t>18,27</t>
  </si>
  <si>
    <t>21,33</t>
  </si>
  <si>
    <t>24,33</t>
  </si>
  <si>
    <t>30,33</t>
  </si>
  <si>
    <t>36,39</t>
  </si>
  <si>
    <t>45,39</t>
  </si>
  <si>
    <t>54,46</t>
  </si>
  <si>
    <t>63,46</t>
  </si>
  <si>
    <t>72,46</t>
  </si>
  <si>
    <t>84,54</t>
  </si>
  <si>
    <t>96,54</t>
  </si>
  <si>
    <t>min.</t>
  </si>
  <si>
    <t>2,86</t>
  </si>
  <si>
    <t>3,62</t>
  </si>
  <si>
    <t>4,32</t>
  </si>
  <si>
    <t>5,32</t>
  </si>
  <si>
    <t>6,78</t>
  </si>
  <si>
    <t>8,28</t>
  </si>
  <si>
    <t>9,78</t>
  </si>
  <si>
    <t>12,73</t>
  </si>
  <si>
    <t>15,73</t>
  </si>
  <si>
    <t>17,73</t>
  </si>
  <si>
    <t>20,67</t>
  </si>
  <si>
    <t>23,67</t>
  </si>
  <si>
    <t>29,67</t>
  </si>
  <si>
    <t>35,61</t>
  </si>
  <si>
    <t>44,61</t>
  </si>
  <si>
    <t>53,54</t>
  </si>
  <si>
    <t>62,54</t>
  </si>
  <si>
    <t>71,54</t>
  </si>
  <si>
    <t>83,46</t>
  </si>
  <si>
    <t>95,46</t>
  </si>
  <si>
    <t>da</t>
  </si>
  <si>
    <t>2,6</t>
  </si>
  <si>
    <t>3,1</t>
  </si>
  <si>
    <t>3,6</t>
  </si>
  <si>
    <t>4,7</t>
  </si>
  <si>
    <t>5,7</t>
  </si>
  <si>
    <t>6,8</t>
  </si>
  <si>
    <t>9,2</t>
  </si>
  <si>
    <t>11,2</t>
  </si>
  <si>
    <t>13,7</t>
  </si>
  <si>
    <t>15,7</t>
  </si>
  <si>
    <t>17,7</t>
  </si>
  <si>
    <t>22,4</t>
  </si>
  <si>
    <t>26,4</t>
  </si>
  <si>
    <t>33,4</t>
  </si>
  <si>
    <t>39,4</t>
  </si>
  <si>
    <t>45,6</t>
  </si>
  <si>
    <t>52,6</t>
  </si>
  <si>
    <t>1,60</t>
  </si>
  <si>
    <t>2,00</t>
  </si>
  <si>
    <t>2,50</t>
  </si>
  <si>
    <t>4,00</t>
  </si>
  <si>
    <t>5,00</t>
  </si>
  <si>
    <t>6,00</t>
  </si>
  <si>
    <t>8,00</t>
  </si>
  <si>
    <t>10,00</t>
  </si>
  <si>
    <t>12,00</t>
  </si>
  <si>
    <t>14,00</t>
  </si>
  <si>
    <t>20,00</t>
  </si>
  <si>
    <t>42,00</t>
  </si>
  <si>
    <t>48,00</t>
  </si>
  <si>
    <t>56,00</t>
  </si>
  <si>
    <t>64,00</t>
  </si>
  <si>
    <t>1,46</t>
  </si>
  <si>
    <t>1,86</t>
  </si>
  <si>
    <t>2,36</t>
  </si>
  <si>
    <t>3,82</t>
  </si>
  <si>
    <t>4,82</t>
  </si>
  <si>
    <t>5,82</t>
  </si>
  <si>
    <t>7,78</t>
  </si>
  <si>
    <t>11,73</t>
  </si>
  <si>
    <t>13,73</t>
  </si>
  <si>
    <t>19,67</t>
  </si>
  <si>
    <t>41,61</t>
  </si>
  <si>
    <t>47,61</t>
  </si>
  <si>
    <t>55,54</t>
  </si>
  <si>
    <t>63,54</t>
  </si>
  <si>
    <t>e</t>
  </si>
  <si>
    <t>0,34</t>
  </si>
  <si>
    <t>0,51</t>
  </si>
  <si>
    <t>0,68</t>
  </si>
  <si>
    <t>1,02</t>
  </si>
  <si>
    <t>1,45</t>
  </si>
  <si>
    <t>2,04</t>
  </si>
  <si>
    <t>2,89</t>
  </si>
  <si>
    <t>3,06</t>
  </si>
  <si>
    <t>3,91</t>
  </si>
  <si>
    <t>5,95</t>
  </si>
  <si>
    <t>6,0</t>
  </si>
  <si>
    <t>7,64</t>
  </si>
  <si>
    <t>9,64</t>
  </si>
  <si>
    <t>11,57</t>
  </si>
  <si>
    <t>13,57</t>
  </si>
  <si>
    <t>15,57</t>
  </si>
  <si>
    <t>19,48</t>
  </si>
  <si>
    <t>23,48</t>
  </si>
  <si>
    <t>29,48</t>
  </si>
  <si>
    <t>35,38</t>
  </si>
  <si>
    <t>41,38</t>
  </si>
  <si>
    <t>47,38</t>
  </si>
  <si>
    <t>55,26</t>
  </si>
  <si>
    <t>63,26</t>
  </si>
  <si>
    <t>0,1</t>
  </si>
  <si>
    <t>0,2</t>
  </si>
  <si>
    <t>1,58</t>
  </si>
  <si>
    <t>2,08</t>
  </si>
  <si>
    <t>2,58</t>
  </si>
  <si>
    <t>3,08</t>
  </si>
  <si>
    <t>5,14</t>
  </si>
  <si>
    <t>6,14</t>
  </si>
  <si>
    <t>17,23</t>
  </si>
  <si>
    <t>32,33</t>
  </si>
  <si>
    <t>36,33</t>
  </si>
  <si>
    <t>41,33</t>
  </si>
  <si>
    <t>46,33</t>
  </si>
  <si>
    <t>1,52</t>
  </si>
  <si>
    <t>2,02</t>
  </si>
  <si>
    <t>2,52</t>
  </si>
  <si>
    <t>3,02</t>
  </si>
  <si>
    <t>6,02</t>
  </si>
  <si>
    <t>17,05</t>
  </si>
  <si>
    <t>32,08</t>
  </si>
  <si>
    <t>36,08</t>
  </si>
  <si>
    <t>41,08</t>
  </si>
  <si>
    <t>46,08</t>
  </si>
  <si>
    <t>1,3</t>
  </si>
  <si>
    <t>15,5</t>
  </si>
  <si>
    <t>v</t>
  </si>
  <si>
    <t>0,16</t>
  </si>
  <si>
    <t>2,4</t>
  </si>
  <si>
    <t>4,2</t>
  </si>
  <si>
    <t>4,8</t>
  </si>
  <si>
    <t>5,6</t>
  </si>
  <si>
    <t>6,4</t>
  </si>
  <si>
    <t>dw</t>
  </si>
  <si>
    <t>2,72</t>
  </si>
  <si>
    <t>3,48</t>
  </si>
  <si>
    <t>4,18</t>
  </si>
  <si>
    <t>5,07</t>
  </si>
  <si>
    <t>6,53</t>
  </si>
  <si>
    <t>8,03</t>
  </si>
  <si>
    <t>9,38</t>
  </si>
  <si>
    <t>12,33</t>
  </si>
  <si>
    <t>15,33</t>
  </si>
  <si>
    <t>20,17</t>
  </si>
  <si>
    <t>23,17</t>
  </si>
  <si>
    <t>28,87</t>
  </si>
  <si>
    <t>34,81</t>
  </si>
  <si>
    <t>43,61</t>
  </si>
  <si>
    <t>52,54</t>
  </si>
  <si>
    <t>61,34</t>
  </si>
  <si>
    <t>70,34</t>
  </si>
  <si>
    <t>82,26</t>
  </si>
  <si>
    <t>94,26</t>
  </si>
  <si>
    <t>0,55</t>
  </si>
  <si>
    <t>0,85</t>
  </si>
  <si>
    <t>1,15</t>
  </si>
  <si>
    <t>1,9</t>
  </si>
  <si>
    <t>2,3</t>
  </si>
  <si>
    <t>3,3</t>
  </si>
  <si>
    <t>5,8</t>
  </si>
  <si>
    <t>8,6</t>
  </si>
  <si>
    <t>10,4</t>
  </si>
  <si>
    <t>13,1</t>
  </si>
  <si>
    <t>15,3</t>
  </si>
  <si>
    <t>16,3</t>
  </si>
  <si>
    <t>17,5</t>
  </si>
  <si>
    <t>dk max.</t>
  </si>
  <si>
    <t>dk max. for grooved head</t>
  </si>
  <si>
    <t>da max.</t>
  </si>
  <si>
    <t>ds max.</t>
  </si>
  <si>
    <t>ds min.</t>
  </si>
  <si>
    <t>e min.</t>
  </si>
  <si>
    <t>h max.</t>
  </si>
  <si>
    <t>k max.</t>
  </si>
  <si>
    <t>k min.</t>
  </si>
  <si>
    <t>r min.</t>
  </si>
  <si>
    <t>s nominal</t>
  </si>
  <si>
    <t>s max.</t>
  </si>
  <si>
    <t>s min.</t>
  </si>
  <si>
    <t>t min.</t>
  </si>
  <si>
    <t>v max.</t>
  </si>
  <si>
    <t>dw min.</t>
  </si>
  <si>
    <t>w min.</t>
  </si>
  <si>
    <t>2,7</t>
  </si>
  <si>
    <t>2,8</t>
  </si>
  <si>
    <t>3,2</t>
  </si>
  <si>
    <t>3,76</t>
  </si>
  <si>
    <t>4,24</t>
  </si>
  <si>
    <t>4,76</t>
  </si>
  <si>
    <t>5,24</t>
  </si>
  <si>
    <t>5,76</t>
  </si>
  <si>
    <t>6,24</t>
  </si>
  <si>
    <t>7,71</t>
  </si>
  <si>
    <t>8,29</t>
  </si>
  <si>
    <t>9,71</t>
  </si>
  <si>
    <t>10,29</t>
  </si>
  <si>
    <t>11,65</t>
  </si>
  <si>
    <t>12,35</t>
  </si>
  <si>
    <t>15,65</t>
  </si>
  <si>
    <t>16,35</t>
  </si>
  <si>
    <t>19,58</t>
  </si>
  <si>
    <t>20,42</t>
  </si>
  <si>
    <t>24,58</t>
  </si>
  <si>
    <t>25,42</t>
  </si>
  <si>
    <t>5,75</t>
  </si>
  <si>
    <t>29,58</t>
  </si>
  <si>
    <t>30,42</t>
  </si>
  <si>
    <t>9,5</t>
  </si>
  <si>
    <t>6,5</t>
  </si>
  <si>
    <t>34,5</t>
  </si>
  <si>
    <t>35,5</t>
  </si>
  <si>
    <t>11,5</t>
  </si>
  <si>
    <t>39,5</t>
  </si>
  <si>
    <t>40,5</t>
  </si>
  <si>
    <t>16,5</t>
  </si>
  <si>
    <t>44,5</t>
  </si>
  <si>
    <t>45,5</t>
  </si>
  <si>
    <t>10,75</t>
  </si>
  <si>
    <t>49,5</t>
  </si>
  <si>
    <t>50,5</t>
  </si>
  <si>
    <t>15,75</t>
  </si>
  <si>
    <t>10,5</t>
  </si>
  <si>
    <t>54,4</t>
  </si>
  <si>
    <t>55,6</t>
  </si>
  <si>
    <t>20,75</t>
  </si>
  <si>
    <t>10,25</t>
  </si>
  <si>
    <t>59,4</t>
  </si>
  <si>
    <t>60,6</t>
  </si>
  <si>
    <t>25,75</t>
  </si>
  <si>
    <t>20,5</t>
  </si>
  <si>
    <t>15,25</t>
  </si>
  <si>
    <t>64,4</t>
  </si>
  <si>
    <t>65,6</t>
  </si>
  <si>
    <t>30,75</t>
  </si>
  <si>
    <t>25,5</t>
  </si>
  <si>
    <t>20,25</t>
  </si>
  <si>
    <t>69,4</t>
  </si>
  <si>
    <t>70,6</t>
  </si>
  <si>
    <t>35,75</t>
  </si>
  <si>
    <t>30,5</t>
  </si>
  <si>
    <t>25,25</t>
  </si>
  <si>
    <t>79,4</t>
  </si>
  <si>
    <t>80,6</t>
  </si>
  <si>
    <t>45,75</t>
  </si>
  <si>
    <t>35,25</t>
  </si>
  <si>
    <t>89,3</t>
  </si>
  <si>
    <t>90,7</t>
  </si>
  <si>
    <t>45,25</t>
  </si>
  <si>
    <t>99,3</t>
  </si>
  <si>
    <t>100,7</t>
  </si>
  <si>
    <t>60,5</t>
  </si>
  <si>
    <t>55,25</t>
  </si>
  <si>
    <t>109,3</t>
  </si>
  <si>
    <t>110,7</t>
  </si>
  <si>
    <t>65,25</t>
  </si>
  <si>
    <t>119,3</t>
  </si>
  <si>
    <t>120,7</t>
  </si>
  <si>
    <t>75,25</t>
  </si>
  <si>
    <t>129,2</t>
  </si>
  <si>
    <t>130,8</t>
  </si>
  <si>
    <t>139,2</t>
  </si>
  <si>
    <t>140,8</t>
  </si>
  <si>
    <t>149,2</t>
  </si>
  <si>
    <t>150,8</t>
  </si>
  <si>
    <t>159,2</t>
  </si>
  <si>
    <t>160,8</t>
  </si>
  <si>
    <t>179,2</t>
  </si>
  <si>
    <t>180,8</t>
  </si>
  <si>
    <t>199,07</t>
  </si>
  <si>
    <t>200,92</t>
  </si>
  <si>
    <t>219,07</t>
  </si>
  <si>
    <t>220,92</t>
  </si>
  <si>
    <t>239,07</t>
  </si>
  <si>
    <t>240,92</t>
  </si>
  <si>
    <t>258,95</t>
  </si>
  <si>
    <t>261,05</t>
  </si>
  <si>
    <t>278,95</t>
  </si>
  <si>
    <t>281,05</t>
  </si>
  <si>
    <t>298,95</t>
  </si>
  <si>
    <t>301,05</t>
  </si>
  <si>
    <t>55,5</t>
  </si>
  <si>
    <t>65,5</t>
  </si>
  <si>
    <t>75,5</t>
  </si>
  <si>
    <t>21,5</t>
  </si>
  <si>
    <t>85,5</t>
  </si>
  <si>
    <t>31,5</t>
  </si>
  <si>
    <t>95,5</t>
  </si>
  <si>
    <t>70,5</t>
  </si>
  <si>
    <t>41,5</t>
  </si>
  <si>
    <t>115,5</t>
  </si>
  <si>
    <t>90,5</t>
  </si>
  <si>
    <t>61,5</t>
  </si>
  <si>
    <t>28,5</t>
  </si>
  <si>
    <t>135,5</t>
  </si>
  <si>
    <t>110,5</t>
  </si>
  <si>
    <t>81,5</t>
  </si>
  <si>
    <t>48,5</t>
  </si>
  <si>
    <t>101,5</t>
  </si>
  <si>
    <t>68,5</t>
  </si>
  <si>
    <t>121,5</t>
  </si>
  <si>
    <t>88,5</t>
  </si>
  <si>
    <t>141,5</t>
  </si>
  <si>
    <t>108,5</t>
  </si>
  <si>
    <t>161,5</t>
  </si>
  <si>
    <t>128,5</t>
  </si>
  <si>
    <t>181,5</t>
  </si>
  <si>
    <t>148,5</t>
  </si>
  <si>
    <t>l_nominal</t>
  </si>
  <si>
    <t>l_min</t>
  </si>
  <si>
    <t>l_max</t>
  </si>
  <si>
    <t>M2_ls_min</t>
  </si>
  <si>
    <t>M1_6_ls_min</t>
  </si>
  <si>
    <t>M1_6_lg_max</t>
  </si>
  <si>
    <t>M2_lg_max</t>
  </si>
  <si>
    <t>M2_5_ls_min</t>
  </si>
  <si>
    <t>M2_5_lg_max</t>
  </si>
  <si>
    <t>M3_ls_min</t>
  </si>
  <si>
    <t>M3_lg_max</t>
  </si>
  <si>
    <t>M4_ls_min</t>
  </si>
  <si>
    <t>M4_lg_max</t>
  </si>
  <si>
    <t>M5_ls_min</t>
  </si>
  <si>
    <t>M5_lg_max</t>
  </si>
  <si>
    <t>M6_ls_min</t>
  </si>
  <si>
    <t>M6_lg_max</t>
  </si>
  <si>
    <t>M8_ls_min</t>
  </si>
  <si>
    <t>M8_lg_max</t>
  </si>
  <si>
    <t>M10_ls_min</t>
  </si>
  <si>
    <t>M10_lg_max</t>
  </si>
  <si>
    <t>M12_ls_min</t>
  </si>
  <si>
    <t>M12_lg_max</t>
  </si>
  <si>
    <t>M14_ls_min</t>
  </si>
  <si>
    <t>M14_lg_max</t>
  </si>
  <si>
    <t>M16_ls_min</t>
  </si>
  <si>
    <t>M16_lg_max</t>
  </si>
  <si>
    <t>M20_ls_min</t>
  </si>
  <si>
    <t>M20_lg_max</t>
  </si>
  <si>
    <t>M24_ls_min</t>
  </si>
  <si>
    <t>M24_lg_max</t>
  </si>
  <si>
    <t>M30_ls_min</t>
  </si>
  <si>
    <t>M30_lg_max</t>
  </si>
  <si>
    <t>M36_ls_min</t>
  </si>
  <si>
    <t>M36_lg_max</t>
  </si>
  <si>
    <t>M42_ls_min</t>
  </si>
  <si>
    <t>M42_lg_max</t>
  </si>
  <si>
    <t>M48_ls_min</t>
  </si>
  <si>
    <t>M48_lg_max</t>
  </si>
  <si>
    <t>M56_ls_min</t>
  </si>
  <si>
    <t>M56_lg_max</t>
  </si>
  <si>
    <t>M64_ls_min</t>
  </si>
  <si>
    <t>M64_lg_max</t>
  </si>
  <si>
    <t>Thread pitch, P</t>
  </si>
  <si>
    <t>e1_Normal</t>
  </si>
  <si>
    <t>e2_Short</t>
  </si>
  <si>
    <t>e3_Long</t>
  </si>
  <si>
    <t>d1_medio</t>
  </si>
  <si>
    <t>D1Hc_medio</t>
  </si>
  <si>
    <t>d_medio</t>
  </si>
  <si>
    <t>d2_medio</t>
  </si>
  <si>
    <t>d3_medio</t>
  </si>
  <si>
    <t>D1_medio</t>
  </si>
  <si>
    <t>D2_min</t>
  </si>
  <si>
    <t>D2_max</t>
  </si>
  <si>
    <t>D2medio</t>
  </si>
  <si>
    <t>0.5 d</t>
  </si>
  <si>
    <t>0.75 d</t>
  </si>
  <si>
    <t>2.d</t>
  </si>
  <si>
    <t>W_mm</t>
  </si>
  <si>
    <t>`Nominal Size (d)`</t>
  </si>
  <si>
    <t>`Clearance Hole d1 (min)`</t>
  </si>
  <si>
    <t>`Clearance Hole d1 (max)`</t>
  </si>
  <si>
    <t>`d2 (min)`</t>
  </si>
  <si>
    <t>`Thickness h (nom)`</t>
  </si>
  <si>
    <t>`h (max)`</t>
  </si>
  <si>
    <t>`h (min)`</t>
  </si>
  <si>
    <t>`d_int_medio`</t>
  </si>
  <si>
    <t>`d_ext_Medio`</t>
  </si>
  <si>
    <t>`Thread d`</t>
  </si>
  <si>
    <t>`Nominal d`</t>
  </si>
  <si>
    <t>`P`</t>
  </si>
  <si>
    <t>`b`</t>
  </si>
  <si>
    <t>`dk max.`</t>
  </si>
  <si>
    <t>`dk max. for grooved head`</t>
  </si>
  <si>
    <t>`dk min.`</t>
  </si>
  <si>
    <t>`da max.`</t>
  </si>
  <si>
    <t>`ds max.`</t>
  </si>
  <si>
    <t>`ds min.`</t>
  </si>
  <si>
    <t>`e min.`</t>
  </si>
  <si>
    <t>`h max.`</t>
  </si>
  <si>
    <t>`k max.`</t>
  </si>
  <si>
    <t>`k min.`</t>
  </si>
  <si>
    <t>`r min.`</t>
  </si>
  <si>
    <t>`s nominal`</t>
  </si>
  <si>
    <t>`s max.`</t>
  </si>
  <si>
    <t>`s min.`</t>
  </si>
  <si>
    <t>`t min.`</t>
  </si>
  <si>
    <t>`v max.`</t>
  </si>
  <si>
    <t>`dw min.`</t>
  </si>
  <si>
    <t>`w min.`</t>
  </si>
  <si>
    <t>`dk media`</t>
  </si>
  <si>
    <t>`k media`</t>
  </si>
  <si>
    <t>`Outside d2 (nom)`</t>
  </si>
  <si>
    <t>Las siguientes hojas a la derecha no valen son en sucio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</si>
</sst>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color rgb="FF666666"/>
      <name val="Open Sans"/>
      <family val="2"/>
    </font>
    <font>
      <sz val="8"/>
      <name val="Calibri"/>
      <family val="2"/>
      <scheme val="minor"/>
    </font>
    <font>
      <sz val="11"/>
      <color rgb="FFCE9178"/>
      <name val="Consolas"/>
      <family val="3"/>
    </font>
    <font>
      <b/>
      <sz val="11"/>
      <color rgb="FFCE9178"/>
      <name val="Consolas"/>
      <family val="3"/>
    </font>
    <font>
      <b/>
      <sz val="8"/>
      <color rgb="FF666666"/>
      <name val="Open Sans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7BA0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DDDDDD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3" borderId="0" xfId="0" applyFill="1"/>
    <xf numFmtId="0" fontId="0" fillId="2" borderId="1" xfId="0" applyFill="1" applyBorder="1" applyAlignment="1">
      <alignment horizontal="center" vertical="center" wrapText="1" shrinkToFit="1"/>
    </xf>
    <xf numFmtId="0" fontId="0" fillId="2" borderId="2" xfId="0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/>
    </xf>
    <xf numFmtId="11" fontId="0" fillId="0" borderId="0" xfId="0" applyNumberFormat="1"/>
    <xf numFmtId="0" fontId="0" fillId="0" borderId="6" xfId="0" applyBorder="1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right" vertical="center"/>
    </xf>
    <xf numFmtId="11" fontId="2" fillId="0" borderId="0" xfId="0" applyNumberFormat="1" applyFont="1"/>
    <xf numFmtId="11" fontId="0" fillId="0" borderId="8" xfId="0" applyNumberFormat="1" applyBorder="1"/>
    <xf numFmtId="0" fontId="1" fillId="0" borderId="0" xfId="0" applyFont="1"/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4" borderId="0" xfId="0" applyFont="1" applyFill="1" applyAlignment="1">
      <alignment horizontal="left" vertical="center" wrapText="1"/>
    </xf>
    <xf numFmtId="0" fontId="0" fillId="5" borderId="0" xfId="0" applyFill="1"/>
    <xf numFmtId="0" fontId="0" fillId="6" borderId="0" xfId="0" applyFill="1"/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12" xfId="0" applyFont="1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3" fontId="0" fillId="0" borderId="0" xfId="0" applyNumberFormat="1"/>
    <xf numFmtId="164" fontId="0" fillId="4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7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10" borderId="0" xfId="0" applyFill="1"/>
    <xf numFmtId="2" fontId="0" fillId="9" borderId="0" xfId="0" applyNumberFormat="1" applyFill="1" applyAlignment="1">
      <alignment horizontal="center" vertical="center"/>
    </xf>
    <xf numFmtId="0" fontId="0" fillId="11" borderId="13" xfId="0" applyFill="1" applyBorder="1"/>
    <xf numFmtId="1" fontId="0" fillId="0" borderId="0" xfId="0" applyNumberFormat="1"/>
    <xf numFmtId="1" fontId="2" fillId="0" borderId="0" xfId="0" applyNumberFormat="1" applyFont="1"/>
    <xf numFmtId="165" fontId="2" fillId="0" borderId="0" xfId="0" applyNumberFormat="1" applyFont="1"/>
    <xf numFmtId="0" fontId="2" fillId="0" borderId="0" xfId="0" applyFont="1"/>
    <xf numFmtId="0" fontId="2" fillId="12" borderId="13" xfId="0" applyFont="1" applyFill="1" applyBorder="1" applyAlignment="1">
      <alignment wrapText="1"/>
    </xf>
    <xf numFmtId="0" fontId="6" fillId="12" borderId="14" xfId="0" applyFont="1" applyFill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0" xfId="0" applyNumberFormat="1"/>
    <xf numFmtId="0" fontId="7" fillId="14" borderId="18" xfId="0" applyFont="1" applyFill="1" applyBorder="1" applyAlignment="1">
      <alignment vertical="top" wrapText="1" indent="1"/>
    </xf>
    <xf numFmtId="0" fontId="7" fillId="14" borderId="21" xfId="0" applyFont="1" applyFill="1" applyBorder="1" applyAlignment="1">
      <alignment vertical="top" wrapText="1"/>
    </xf>
    <xf numFmtId="0" fontId="7" fillId="14" borderId="22" xfId="0" applyFont="1" applyFill="1" applyBorder="1" applyAlignment="1">
      <alignment vertical="top" wrapText="1"/>
    </xf>
    <xf numFmtId="0" fontId="7" fillId="14" borderId="23" xfId="0" applyFont="1" applyFill="1" applyBorder="1" applyAlignment="1">
      <alignment vertical="top" wrapText="1"/>
    </xf>
    <xf numFmtId="0" fontId="7" fillId="15" borderId="19" xfId="0" applyFont="1" applyFill="1" applyBorder="1" applyAlignment="1">
      <alignment vertical="top" wrapText="1"/>
    </xf>
    <xf numFmtId="0" fontId="7" fillId="14" borderId="19" xfId="0" applyFont="1" applyFill="1" applyBorder="1" applyAlignment="1">
      <alignment vertical="top" wrapText="1"/>
    </xf>
    <xf numFmtId="0" fontId="7" fillId="15" borderId="19" xfId="0" applyFont="1" applyFill="1" applyBorder="1" applyAlignment="1">
      <alignment horizontal="center" vertical="center" wrapText="1"/>
    </xf>
    <xf numFmtId="0" fontId="7" fillId="15" borderId="18" xfId="0" applyFont="1" applyFill="1" applyBorder="1" applyAlignment="1">
      <alignment horizontal="center" vertical="center" wrapText="1"/>
    </xf>
    <xf numFmtId="0" fontId="7" fillId="14" borderId="19" xfId="0" applyFont="1" applyFill="1" applyBorder="1" applyAlignment="1">
      <alignment horizontal="center" vertical="center" wrapText="1"/>
    </xf>
    <xf numFmtId="0" fontId="7" fillId="14" borderId="18" xfId="0" applyFont="1" applyFill="1" applyBorder="1" applyAlignment="1">
      <alignment horizontal="center" vertical="center" wrapText="1"/>
    </xf>
    <xf numFmtId="3" fontId="7" fillId="14" borderId="18" xfId="0" applyNumberFormat="1" applyFont="1" applyFill="1" applyBorder="1" applyAlignment="1">
      <alignment horizontal="center" vertical="center" wrapText="1"/>
    </xf>
    <xf numFmtId="0" fontId="7" fillId="14" borderId="19" xfId="0" applyFont="1" applyFill="1" applyBorder="1" applyAlignment="1">
      <alignment horizontal="center" wrapText="1"/>
    </xf>
    <xf numFmtId="0" fontId="7" fillId="14" borderId="18" xfId="0" applyFont="1" applyFill="1" applyBorder="1" applyAlignment="1">
      <alignment horizontal="center" wrapText="1"/>
    </xf>
    <xf numFmtId="0" fontId="7" fillId="15" borderId="24" xfId="0" applyFont="1" applyFill="1" applyBorder="1" applyAlignment="1">
      <alignment horizontal="center" wrapText="1"/>
    </xf>
    <xf numFmtId="0" fontId="7" fillId="15" borderId="20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7" fillId="14" borderId="20" xfId="0" applyFont="1" applyFill="1" applyBorder="1" applyAlignment="1">
      <alignment horizontal="center" vertical="center" wrapText="1"/>
    </xf>
    <xf numFmtId="0" fontId="7" fillId="14" borderId="26" xfId="0" applyFont="1" applyFill="1" applyBorder="1" applyAlignment="1">
      <alignment vertical="top" wrapText="1"/>
    </xf>
    <xf numFmtId="0" fontId="7" fillId="14" borderId="27" xfId="0" applyFont="1" applyFill="1" applyBorder="1" applyAlignment="1">
      <alignment vertical="top" wrapText="1"/>
    </xf>
    <xf numFmtId="0" fontId="7" fillId="14" borderId="28" xfId="0" applyFont="1" applyFill="1" applyBorder="1" applyAlignment="1">
      <alignment vertical="top" wrapText="1"/>
    </xf>
    <xf numFmtId="0" fontId="7" fillId="14" borderId="27" xfId="0" applyFont="1" applyFill="1" applyBorder="1" applyAlignment="1">
      <alignment horizontal="center" vertical="top" wrapText="1"/>
    </xf>
    <xf numFmtId="0" fontId="7" fillId="14" borderId="29" xfId="0" applyFont="1" applyFill="1" applyBorder="1" applyAlignment="1">
      <alignment horizontal="center" vertical="center" wrapText="1"/>
    </xf>
    <xf numFmtId="0" fontId="7" fillId="14" borderId="21" xfId="0" applyFont="1" applyFill="1" applyBorder="1" applyAlignment="1">
      <alignment horizontal="center" vertical="center" wrapText="1"/>
    </xf>
    <xf numFmtId="0" fontId="7" fillId="15" borderId="21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 wrapText="1"/>
    </xf>
    <xf numFmtId="0" fontId="1" fillId="9" borderId="3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vertical="center"/>
    </xf>
    <xf numFmtId="0" fontId="10" fillId="16" borderId="32" xfId="0" applyFont="1" applyFill="1" applyBorder="1" applyAlignment="1">
      <alignment vertical="center"/>
    </xf>
    <xf numFmtId="0" fontId="7" fillId="14" borderId="22" xfId="0" applyFont="1" applyFill="1" applyBorder="1" applyAlignment="1">
      <alignment horizontal="center" wrapText="1"/>
    </xf>
    <xf numFmtId="2" fontId="7" fillId="14" borderId="18" xfId="0" applyNumberFormat="1" applyFont="1" applyFill="1" applyBorder="1" applyAlignment="1">
      <alignment horizontal="center" wrapText="1"/>
    </xf>
    <xf numFmtId="2" fontId="7" fillId="14" borderId="19" xfId="0" applyNumberFormat="1" applyFont="1" applyFill="1" applyBorder="1" applyAlignment="1">
      <alignment horizontal="center" wrapText="1"/>
    </xf>
    <xf numFmtId="2" fontId="7" fillId="14" borderId="23" xfId="0" applyNumberFormat="1" applyFont="1" applyFill="1" applyBorder="1" applyAlignment="1">
      <alignment horizontal="center" wrapText="1"/>
    </xf>
    <xf numFmtId="2" fontId="7" fillId="14" borderId="2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 wrapText="1"/>
    </xf>
    <xf numFmtId="2" fontId="0" fillId="0" borderId="9" xfId="0" applyNumberFormat="1" applyBorder="1" applyAlignment="1">
      <alignment horizontal="center" wrapText="1"/>
    </xf>
    <xf numFmtId="2" fontId="0" fillId="0" borderId="25" xfId="0" applyNumberFormat="1" applyBorder="1" applyAlignment="1">
      <alignment horizontal="center" wrapText="1"/>
    </xf>
    <xf numFmtId="0" fontId="11" fillId="15" borderId="19" xfId="0" applyFont="1" applyFill="1" applyBorder="1" applyAlignment="1">
      <alignment horizontal="center" wrapText="1"/>
    </xf>
    <xf numFmtId="0" fontId="7" fillId="15" borderId="18" xfId="0" applyFont="1" applyFill="1" applyBorder="1" applyAlignment="1">
      <alignment horizontal="center" wrapText="1"/>
    </xf>
    <xf numFmtId="0" fontId="11" fillId="14" borderId="19" xfId="0" applyFont="1" applyFill="1" applyBorder="1" applyAlignment="1">
      <alignment horizontal="center" wrapText="1"/>
    </xf>
    <xf numFmtId="0" fontId="11" fillId="14" borderId="18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/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1" fontId="0" fillId="0" borderId="4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4" xfId="0" applyNumberFormat="1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11" fontId="0" fillId="0" borderId="5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0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border outline="0">
        <top style="medium">
          <color rgb="FFDDDDDD"/>
        </top>
      </border>
    </dxf>
    <dxf>
      <border outline="0">
        <left style="medium">
          <color rgb="FFDDDDDD"/>
        </lef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border outline="0">
        <top style="medium">
          <color rgb="FFDDDDDD"/>
        </top>
      </border>
    </dxf>
    <dxf>
      <border outline="0">
        <left style="medium">
          <color rgb="FFDDDDDD"/>
        </lef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</dxf>
    <dxf>
      <numFmt numFmtId="2" formatCode="0.00"/>
      <alignment horizontal="center" vertical="bottom" textRotation="0" wrapText="1" indent="0" justifyLastLine="0" shrinkToFit="0" readingOrder="0"/>
    </dxf>
    <dxf>
      <numFmt numFmtId="2" formatCode="0.00"/>
      <alignment horizontal="center" vertical="bottom" textRotation="0" wrapText="1" indent="0" justifyLastLine="0" shrinkToFit="0" readingOrder="0"/>
    </dxf>
    <dxf>
      <numFmt numFmtId="2" formatCode="0.00"/>
      <alignment horizontal="center" vertical="bottom" textRotation="0" wrapText="1" indent="0" justifyLastLine="0" shrinkToFit="0" readingOrder="0"/>
    </dxf>
    <dxf>
      <numFmt numFmtId="2" formatCode="0.00"/>
      <alignment horizontal="center" vertical="bottom" textRotation="0" wrapText="1" indent="0" justifyLastLine="0" shrinkToFit="0" readingOrder="0"/>
    </dxf>
    <dxf>
      <numFmt numFmtId="2" formatCode="0.00"/>
      <alignment horizontal="center" vertical="bottom" textRotation="0" wrapText="1" indent="0" justifyLastLine="0" shrinkToFit="0" readingOrder="0"/>
    </dxf>
    <dxf>
      <numFmt numFmtId="2" formatCode="0.00"/>
      <alignment horizontal="center" vertical="bottom" textRotation="0" wrapText="1" indent="0" justifyLastLine="0" shrinkToFit="0" readingOrder="0"/>
    </dxf>
    <dxf>
      <numFmt numFmtId="2" formatCode="0.00"/>
      <alignment horizontal="center" vertical="bottom" textRotation="0" wrapText="1" indent="0" justifyLastLine="0" shrinkToFit="0" readingOrder="0"/>
    </dxf>
    <dxf>
      <numFmt numFmtId="2" formatCode="0.00"/>
      <alignment horizontal="center" vertical="bottom" textRotation="0" wrapText="1" indent="0" justifyLastLine="0" shrinkToFit="0" readingOrder="0"/>
    </dxf>
    <dxf>
      <numFmt numFmtId="2" formatCode="0.00"/>
      <alignment horizontal="center" vertical="bottom" textRotation="0" wrapText="1" indent="0" justifyLastLine="0" shrinkToFit="0" readingOrder="0"/>
    </dxf>
    <dxf>
      <numFmt numFmtId="2" formatCode="0.00"/>
      <alignment horizontal="center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2" formatCode="0.00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5F5F5"/>
        </patternFill>
      </fill>
      <alignment horizontal="center" vertical="bottom" textRotation="0" wrapText="1" indent="0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border outline="0">
        <left style="medium">
          <color rgb="FFDDDDDD"/>
        </left>
        <right style="medium">
          <color rgb="FFDDDDDD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66666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7" Type="http://schemas.openxmlformats.org/officeDocument/2006/relationships/image" Target="../media/image2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199573</xdr:colOff>
      <xdr:row>0</xdr:row>
      <xdr:rowOff>0</xdr:rowOff>
    </xdr:from>
    <xdr:to>
      <xdr:col>7</xdr:col>
      <xdr:colOff>492119</xdr:colOff>
      <xdr:row>10</xdr:row>
      <xdr:rowOff>37514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F7D009-A97C-3B6E-DA34-6037871E9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9029248" y="0"/>
          <a:ext cx="1500316" cy="1942514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14</xdr:row>
      <xdr:rowOff>43439</xdr:rowOff>
    </xdr:from>
    <xdr:to>
      <xdr:col>19</xdr:col>
      <xdr:colOff>381000</xdr:colOff>
      <xdr:row>34</xdr:row>
      <xdr:rowOff>38803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180B854-5148-4B63-B65A-E48838DFB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49150" y="2900939"/>
          <a:ext cx="5495925" cy="3995864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0</xdr:row>
      <xdr:rowOff>47624</xdr:rowOff>
    </xdr:from>
    <xdr:to>
      <xdr:col>17</xdr:col>
      <xdr:colOff>422528</xdr:colOff>
      <xdr:row>10</xdr:row>
      <xdr:rowOff>189899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B10DF70-8C5C-D47D-9A75-2A1CE7D47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82725" y="47624"/>
          <a:ext cx="2388488" cy="20472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1114425</xdr:colOff>
      <xdr:row>50</xdr:row>
      <xdr:rowOff>164122</xdr:rowOff>
    </xdr:from>
    <xdr:to>
      <xdr:col>25</xdr:col>
      <xdr:colOff>80073</xdr:colOff>
      <xdr:row>73</xdr:row>
      <xdr:rowOff>32998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A10392F2-BD2A-4A74-B064-8230CF287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3175" y="9984397"/>
          <a:ext cx="4975923" cy="4250376"/>
        </a:xfrm>
        <a:prstGeom prst="rect">
          <a:avLst/>
        </a:prstGeom>
      </xdr:spPr>
    </xdr:pic>
    <xdr:clientData/>
  </xdr:twoCellAnchor>
  <xdr:twoCellAnchor editAs="oneCell">
    <xdr:from>
      <xdr:col>21</xdr:col>
      <xdr:colOff>1457325</xdr:colOff>
      <xdr:row>28</xdr:row>
      <xdr:rowOff>96549</xdr:rowOff>
    </xdr:from>
    <xdr:to>
      <xdr:col>23</xdr:col>
      <xdr:colOff>571500</xdr:colOff>
      <xdr:row>48</xdr:row>
      <xdr:rowOff>37434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F0B55F8C-988D-44EF-B5B6-2AD2AD6AA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26075" y="5725824"/>
          <a:ext cx="3600450" cy="3750885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30</xdr:row>
      <xdr:rowOff>152400</xdr:rowOff>
    </xdr:from>
    <xdr:to>
      <xdr:col>35</xdr:col>
      <xdr:colOff>304029</xdr:colOff>
      <xdr:row>46</xdr:row>
      <xdr:rowOff>104400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4A429FA8-8787-445B-B001-127B72B18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31625" y="6162675"/>
          <a:ext cx="6171429" cy="300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457200</xdr:colOff>
      <xdr:row>50</xdr:row>
      <xdr:rowOff>76200</xdr:rowOff>
    </xdr:from>
    <xdr:to>
      <xdr:col>34</xdr:col>
      <xdr:colOff>570724</xdr:colOff>
      <xdr:row>66</xdr:row>
      <xdr:rowOff>142486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ACEDCCD6-B401-4A2D-8AC1-F72EB68FB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898225" y="9896475"/>
          <a:ext cx="6209524" cy="3114286"/>
        </a:xfrm>
        <a:prstGeom prst="rect">
          <a:avLst/>
        </a:prstGeom>
      </xdr:spPr>
    </xdr:pic>
    <xdr:clientData/>
  </xdr:twoCellAnchor>
  <xdr:twoCellAnchor editAs="oneCell">
    <xdr:from>
      <xdr:col>21</xdr:col>
      <xdr:colOff>909918</xdr:colOff>
      <xdr:row>10</xdr:row>
      <xdr:rowOff>150158</xdr:rowOff>
    </xdr:from>
    <xdr:to>
      <xdr:col>28</xdr:col>
      <xdr:colOff>711024</xdr:colOff>
      <xdr:row>24</xdr:row>
      <xdr:rowOff>36214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E0DD0BE-980A-4606-BA2C-E7D8BFEC5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578668" y="2350433"/>
          <a:ext cx="8097381" cy="2553056"/>
        </a:xfrm>
        <a:prstGeom prst="rect">
          <a:avLst/>
        </a:prstGeom>
      </xdr:spPr>
    </xdr:pic>
    <xdr:clientData/>
  </xdr:twoCellAnchor>
  <xdr:twoCellAnchor editAs="oneCell">
    <xdr:from>
      <xdr:col>29</xdr:col>
      <xdr:colOff>324970</xdr:colOff>
      <xdr:row>9</xdr:row>
      <xdr:rowOff>154613</xdr:rowOff>
    </xdr:from>
    <xdr:to>
      <xdr:col>37</xdr:col>
      <xdr:colOff>280147</xdr:colOff>
      <xdr:row>25</xdr:row>
      <xdr:rowOff>154074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87124A6-DC4A-4354-B008-7DA38AD0B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051995" y="2164388"/>
          <a:ext cx="6051177" cy="3047461"/>
        </a:xfrm>
        <a:prstGeom prst="rect">
          <a:avLst/>
        </a:prstGeom>
      </xdr:spPr>
    </xdr:pic>
    <xdr:clientData/>
  </xdr:twoCellAnchor>
  <xdr:twoCellAnchor editAs="oneCell">
    <xdr:from>
      <xdr:col>21</xdr:col>
      <xdr:colOff>3704384</xdr:colOff>
      <xdr:row>76</xdr:row>
      <xdr:rowOff>119342</xdr:rowOff>
    </xdr:from>
    <xdr:to>
      <xdr:col>31</xdr:col>
      <xdr:colOff>57278</xdr:colOff>
      <xdr:row>103</xdr:row>
      <xdr:rowOff>15270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CA1BAB7-0798-4346-8E29-05A87EC74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373134" y="14892617"/>
          <a:ext cx="6935169" cy="503942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452158</xdr:colOff>
      <xdr:row>0</xdr:row>
      <xdr:rowOff>338109</xdr:rowOff>
    </xdr:from>
    <xdr:to>
      <xdr:col>23</xdr:col>
      <xdr:colOff>261658</xdr:colOff>
      <xdr:row>16</xdr:row>
      <xdr:rowOff>141878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D85941-30AA-4BCB-9829-68AFFE2E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82258" y="338109"/>
          <a:ext cx="4381500" cy="3042269"/>
        </a:xfrm>
        <a:prstGeom prst="rect">
          <a:avLst/>
        </a:prstGeom>
      </xdr:spPr>
    </xdr:pic>
    <xdr:clientData/>
  </xdr:twoCellAnchor>
  <xdr:twoCellAnchor editAs="oneCell">
    <xdr:from>
      <xdr:col>17</xdr:col>
      <xdr:colOff>356988</xdr:colOff>
      <xdr:row>17</xdr:row>
      <xdr:rowOff>186499</xdr:rowOff>
    </xdr:from>
    <xdr:to>
      <xdr:col>23</xdr:col>
      <xdr:colOff>494103</xdr:colOff>
      <xdr:row>39</xdr:row>
      <xdr:rowOff>5131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B84CCC-56DE-478E-A078-282A5C402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87088" y="3615499"/>
          <a:ext cx="4709115" cy="400963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675202</xdr:colOff>
      <xdr:row>46</xdr:row>
      <xdr:rowOff>56102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1AB27B-D746-42DF-BA3A-5E2FEAF67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80952" cy="83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234317</xdr:colOff>
      <xdr:row>0</xdr:row>
      <xdr:rowOff>34563</xdr:rowOff>
    </xdr:from>
    <xdr:to>
      <xdr:col>26</xdr:col>
      <xdr:colOff>131717</xdr:colOff>
      <xdr:row>31</xdr:row>
      <xdr:rowOff>47933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4D9C00-22D1-4E9D-B974-5A8A97696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94603" y="34563"/>
          <a:ext cx="5721257" cy="5769191"/>
        </a:xfrm>
        <a:prstGeom prst="rect">
          <a:avLst/>
        </a:prstGeom>
      </xdr:spPr>
    </xdr:pic>
    <xdr:clientData/>
  </xdr:twoCellAnchor>
  <xdr:twoCellAnchor editAs="oneCell">
    <xdr:from>
      <xdr:col>18</xdr:col>
      <xdr:colOff>159475</xdr:colOff>
      <xdr:row>32</xdr:row>
      <xdr:rowOff>11703</xdr:rowOff>
    </xdr:from>
    <xdr:to>
      <xdr:col>26</xdr:col>
      <xdr:colOff>225167</xdr:colOff>
      <xdr:row>52</xdr:row>
      <xdr:rowOff>101834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32DC67-FA81-4FDF-9935-8E56072A4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57118" y="6379846"/>
          <a:ext cx="5699049" cy="3954559"/>
        </a:xfrm>
        <a:prstGeom prst="rect">
          <a:avLst/>
        </a:prstGeom>
      </xdr:spPr>
    </xdr:pic>
    <xdr:clientData/>
  </xdr:twoCellAnchor>
  <xdr:twoCellAnchor editAs="oneCell">
    <xdr:from>
      <xdr:col>14</xdr:col>
      <xdr:colOff>668658</xdr:colOff>
      <xdr:row>40</xdr:row>
      <xdr:rowOff>138745</xdr:rowOff>
    </xdr:from>
    <xdr:to>
      <xdr:col>24</xdr:col>
      <xdr:colOff>518625</xdr:colOff>
      <xdr:row>98</xdr:row>
      <xdr:rowOff>138064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EACBF0A-FAA7-4BAA-97A9-786420654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18301" y="8044495"/>
          <a:ext cx="7007324" cy="11157176"/>
        </a:xfrm>
        <a:prstGeom prst="rect">
          <a:avLst/>
        </a:prstGeom>
      </xdr:spPr>
    </xdr:pic>
    <xdr:clientData/>
  </xdr:twoCellAnchor>
  <xdr:twoCellAnchor editAs="oneCell">
    <xdr:from>
      <xdr:col>15</xdr:col>
      <xdr:colOff>272142</xdr:colOff>
      <xdr:row>99</xdr:row>
      <xdr:rowOff>81645</xdr:rowOff>
    </xdr:from>
    <xdr:to>
      <xdr:col>21</xdr:col>
      <xdr:colOff>498762</xdr:colOff>
      <xdr:row>142</xdr:row>
      <xdr:rowOff>189538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15C7D0D-8657-1B00-A838-7C2BDAD11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83785" y="19335752"/>
          <a:ext cx="4798620" cy="8299393"/>
        </a:xfrm>
        <a:prstGeom prst="rect">
          <a:avLst/>
        </a:prstGeom>
      </xdr:spPr>
    </xdr:pic>
    <xdr:clientData/>
  </xdr:twoCellAnchor>
  <xdr:twoCellAnchor editAs="oneCell">
    <xdr:from>
      <xdr:col>14</xdr:col>
      <xdr:colOff>517071</xdr:colOff>
      <xdr:row>137</xdr:row>
      <xdr:rowOff>176892</xdr:rowOff>
    </xdr:from>
    <xdr:to>
      <xdr:col>23</xdr:col>
      <xdr:colOff>348309</xdr:colOff>
      <xdr:row>182</xdr:row>
      <xdr:rowOff>178619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1BF8EE6-236C-61CB-7C52-E16623304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66714" y="26860499"/>
          <a:ext cx="6580381" cy="85742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550995</xdr:colOff>
      <xdr:row>39</xdr:row>
      <xdr:rowOff>113965</xdr:rowOff>
    </xdr:from>
    <xdr:to>
      <xdr:col>18</xdr:col>
      <xdr:colOff>532224</xdr:colOff>
      <xdr:row>82</xdr:row>
      <xdr:rowOff>131935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B4FEF9-F138-72A1-2A53-F6E1AC11B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7171" y="7711553"/>
          <a:ext cx="6718094" cy="77371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504825</xdr:colOff>
      <xdr:row>2</xdr:row>
      <xdr:rowOff>158115</xdr:rowOff>
    </xdr:from>
    <xdr:to>
      <xdr:col>11</xdr:col>
      <xdr:colOff>173179</xdr:colOff>
      <xdr:row>37</xdr:row>
      <xdr:rowOff>3300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EBC3C3-4DF5-B482-AF6F-87E6A09AF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63225" y="550001"/>
          <a:ext cx="3478354" cy="67031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35776</xdr:colOff>
      <xdr:row>32</xdr:row>
      <xdr:rowOff>17194</xdr:rowOff>
    </xdr:from>
    <xdr:to>
      <xdr:col>18</xdr:col>
      <xdr:colOff>2344</xdr:colOff>
      <xdr:row>69</xdr:row>
      <xdr:rowOff>39247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F0D02F-DF1A-BB8C-9DC3-F21892A03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76" y="6842537"/>
          <a:ext cx="11892815" cy="7271938"/>
        </a:xfrm>
        <a:prstGeom prst="rect">
          <a:avLst/>
        </a:prstGeom>
      </xdr:spPr>
    </xdr:pic>
    <xdr:clientData/>
  </xdr:twoCellAnchor>
  <xdr:twoCellAnchor editAs="oneCell">
    <xdr:from>
      <xdr:col>19</xdr:col>
      <xdr:colOff>13855</xdr:colOff>
      <xdr:row>0</xdr:row>
      <xdr:rowOff>0</xdr:rowOff>
    </xdr:from>
    <xdr:to>
      <xdr:col>34</xdr:col>
      <xdr:colOff>416237</xdr:colOff>
      <xdr:row>33</xdr:row>
      <xdr:rowOff>42837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F478220-50E3-ACC5-FF1F-0DE30E642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23273" y="0"/>
          <a:ext cx="11817142" cy="75601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550995</xdr:colOff>
      <xdr:row>39</xdr:row>
      <xdr:rowOff>113965</xdr:rowOff>
    </xdr:from>
    <xdr:to>
      <xdr:col>18</xdr:col>
      <xdr:colOff>532224</xdr:colOff>
      <xdr:row>82</xdr:row>
      <xdr:rowOff>135745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845515-F855-49F2-A1B4-5DEE6F0F9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9230" y="7514890"/>
          <a:ext cx="6683019" cy="78037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526598</xdr:colOff>
      <xdr:row>0</xdr:row>
      <xdr:rowOff>0</xdr:rowOff>
    </xdr:from>
    <xdr:to>
      <xdr:col>22</xdr:col>
      <xdr:colOff>721178</xdr:colOff>
      <xdr:row>31</xdr:row>
      <xdr:rowOff>11465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E369381-F9C5-4CED-8CDC-B532FC31D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4698" y="0"/>
          <a:ext cx="5528580" cy="6164615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31</xdr:row>
      <xdr:rowOff>27215</xdr:rowOff>
    </xdr:from>
    <xdr:to>
      <xdr:col>23</xdr:col>
      <xdr:colOff>75488</xdr:colOff>
      <xdr:row>51</xdr:row>
      <xdr:rowOff>98024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B69362-481A-44D6-B356-C7DB05368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44350" y="6180365"/>
          <a:ext cx="5695238" cy="3918909"/>
        </a:xfrm>
        <a:prstGeom prst="rect">
          <a:avLst/>
        </a:prstGeom>
      </xdr:spPr>
    </xdr:pic>
    <xdr:clientData/>
  </xdr:twoCellAnchor>
  <xdr:twoCellAnchor editAs="oneCell">
    <xdr:from>
      <xdr:col>15</xdr:col>
      <xdr:colOff>101239</xdr:colOff>
      <xdr:row>48</xdr:row>
      <xdr:rowOff>69621</xdr:rowOff>
    </xdr:from>
    <xdr:to>
      <xdr:col>24</xdr:col>
      <xdr:colOff>245120</xdr:colOff>
      <xdr:row>106</xdr:row>
      <xdr:rowOff>30296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F83AA1-2E44-4788-89E0-DB98D7C3C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69339" y="9489846"/>
          <a:ext cx="7001881" cy="110858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526598</xdr:colOff>
      <xdr:row>0</xdr:row>
      <xdr:rowOff>0</xdr:rowOff>
    </xdr:from>
    <xdr:to>
      <xdr:col>22</xdr:col>
      <xdr:colOff>721178</xdr:colOff>
      <xdr:row>32</xdr:row>
      <xdr:rowOff>19357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B14E9E-4D73-12F2-557C-F2F44C9E0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4562" y="0"/>
          <a:ext cx="5528580" cy="6179583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31</xdr:row>
      <xdr:rowOff>27215</xdr:rowOff>
    </xdr:from>
    <xdr:to>
      <xdr:col>23</xdr:col>
      <xdr:colOff>75489</xdr:colOff>
      <xdr:row>51</xdr:row>
      <xdr:rowOff>94214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FEA2919-FB23-4A16-5E80-8C985AFEA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14214" y="6204858"/>
          <a:ext cx="5695238" cy="3942857"/>
        </a:xfrm>
        <a:prstGeom prst="rect">
          <a:avLst/>
        </a:prstGeom>
      </xdr:spPr>
    </xdr:pic>
    <xdr:clientData/>
  </xdr:twoCellAnchor>
  <xdr:twoCellAnchor editAs="oneCell">
    <xdr:from>
      <xdr:col>15</xdr:col>
      <xdr:colOff>64227</xdr:colOff>
      <xdr:row>44</xdr:row>
      <xdr:rowOff>59824</xdr:rowOff>
    </xdr:from>
    <xdr:to>
      <xdr:col>24</xdr:col>
      <xdr:colOff>211919</xdr:colOff>
      <xdr:row>101</xdr:row>
      <xdr:rowOff>152761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0530332-5FBA-9781-A3A5-2C2188794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58798" y="8142467"/>
          <a:ext cx="7254430" cy="10325508"/>
        </a:xfrm>
        <a:prstGeom prst="rect">
          <a:avLst/>
        </a:prstGeom>
      </xdr:spPr>
    </xdr:pic>
    <xdr:clientData/>
  </xdr:twoCellAnchor>
  <xdr:twoCellAnchor editAs="oneCell">
    <xdr:from>
      <xdr:col>15</xdr:col>
      <xdr:colOff>27215</xdr:colOff>
      <xdr:row>103</xdr:row>
      <xdr:rowOff>20244</xdr:rowOff>
    </xdr:from>
    <xdr:to>
      <xdr:col>23</xdr:col>
      <xdr:colOff>716478</xdr:colOff>
      <xdr:row>164</xdr:row>
      <xdr:rowOff>135110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142554-64E4-4369-8C0C-7A036D6FB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83786" y="19900280"/>
          <a:ext cx="6785263" cy="11735366"/>
        </a:xfrm>
        <a:prstGeom prst="rect">
          <a:avLst/>
        </a:prstGeom>
      </xdr:spPr>
    </xdr:pic>
    <xdr:clientData/>
  </xdr:twoCellAnchor>
  <xdr:twoCellAnchor editAs="oneCell">
    <xdr:from>
      <xdr:col>13</xdr:col>
      <xdr:colOff>92384</xdr:colOff>
      <xdr:row>168</xdr:row>
      <xdr:rowOff>1709</xdr:rowOff>
    </xdr:from>
    <xdr:to>
      <xdr:col>25</xdr:col>
      <xdr:colOff>361919</xdr:colOff>
      <xdr:row>231</xdr:row>
      <xdr:rowOff>124191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B89A12C-76CB-4F8F-B7B6-A073D87BF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24955" y="32264245"/>
          <a:ext cx="9304678" cy="1212398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711286</xdr:colOff>
      <xdr:row>34</xdr:row>
      <xdr:rowOff>47625</xdr:rowOff>
    </xdr:from>
    <xdr:to>
      <xdr:col>57</xdr:col>
      <xdr:colOff>234238</xdr:colOff>
      <xdr:row>68</xdr:row>
      <xdr:rowOff>123006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2A6883FA-2548-4DA4-940B-291CC0D3C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97367" y="6174517"/>
          <a:ext cx="6473628" cy="6202273"/>
        </a:xfrm>
        <a:prstGeom prst="rect">
          <a:avLst/>
        </a:prstGeom>
      </xdr:spPr>
    </xdr:pic>
    <xdr:clientData/>
  </xdr:twoCellAnchor>
  <xdr:twoCellAnchor editAs="oneCell">
    <xdr:from>
      <xdr:col>49</xdr:col>
      <xdr:colOff>368386</xdr:colOff>
      <xdr:row>70</xdr:row>
      <xdr:rowOff>28575</xdr:rowOff>
    </xdr:from>
    <xdr:to>
      <xdr:col>57</xdr:col>
      <xdr:colOff>700956</xdr:colOff>
      <xdr:row>113</xdr:row>
      <xdr:rowOff>27552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4DEFFAA2-3898-4296-94D4-AD4AF6DED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26764" y="12642764"/>
          <a:ext cx="6510950" cy="7747693"/>
        </a:xfrm>
        <a:prstGeom prst="rect">
          <a:avLst/>
        </a:prstGeom>
      </xdr:spPr>
    </xdr:pic>
    <xdr:clientData/>
  </xdr:twoCellAnchor>
  <xdr:twoCellAnchor editAs="oneCell">
    <xdr:from>
      <xdr:col>49</xdr:col>
      <xdr:colOff>24714</xdr:colOff>
      <xdr:row>17</xdr:row>
      <xdr:rowOff>66675</xdr:rowOff>
    </xdr:from>
    <xdr:to>
      <xdr:col>55</xdr:col>
      <xdr:colOff>158249</xdr:colOff>
      <xdr:row>29</xdr:row>
      <xdr:rowOff>142581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EE84F1CB-40CD-4EA7-8979-31084FB07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683092" y="3130121"/>
          <a:ext cx="4767319" cy="2238338"/>
        </a:xfrm>
        <a:prstGeom prst="rect">
          <a:avLst/>
        </a:prstGeom>
      </xdr:spPr>
    </xdr:pic>
    <xdr:clientData/>
  </xdr:twoCellAnchor>
  <xdr:twoCellAnchor editAs="oneCell">
    <xdr:from>
      <xdr:col>31</xdr:col>
      <xdr:colOff>467497</xdr:colOff>
      <xdr:row>2</xdr:row>
      <xdr:rowOff>28576</xdr:rowOff>
    </xdr:from>
    <xdr:to>
      <xdr:col>39</xdr:col>
      <xdr:colOff>37390</xdr:colOff>
      <xdr:row>29</xdr:row>
      <xdr:rowOff>75552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243D0AB5-C03D-41CF-B131-3357FECFA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224524" y="388981"/>
          <a:ext cx="5748271" cy="4912449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31</xdr:row>
      <xdr:rowOff>95250</xdr:rowOff>
    </xdr:from>
    <xdr:to>
      <xdr:col>39</xdr:col>
      <xdr:colOff>542868</xdr:colOff>
      <xdr:row>63</xdr:row>
      <xdr:rowOff>123060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F2415DF2-6F7E-4008-A3DC-CA8E485DE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757027" y="5681534"/>
          <a:ext cx="6721246" cy="5794296"/>
        </a:xfrm>
        <a:prstGeom prst="rect">
          <a:avLst/>
        </a:prstGeom>
      </xdr:spPr>
    </xdr:pic>
    <xdr:clientData/>
  </xdr:twoCellAnchor>
  <xdr:twoCellAnchor editAs="oneCell">
    <xdr:from>
      <xdr:col>40</xdr:col>
      <xdr:colOff>104774</xdr:colOff>
      <xdr:row>1</xdr:row>
      <xdr:rowOff>0</xdr:rowOff>
    </xdr:from>
    <xdr:to>
      <xdr:col>48</xdr:col>
      <xdr:colOff>352405</xdr:colOff>
      <xdr:row>32</xdr:row>
      <xdr:rowOff>8787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C7B9B38A-7503-468A-8291-0A85B29FD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812477" y="180203"/>
          <a:ext cx="6426009" cy="5595070"/>
        </a:xfrm>
        <a:prstGeom prst="rect">
          <a:avLst/>
        </a:prstGeom>
      </xdr:spPr>
    </xdr:pic>
    <xdr:clientData/>
  </xdr:twoCellAnchor>
  <xdr:twoCellAnchor editAs="oneCell">
    <xdr:from>
      <xdr:col>32</xdr:col>
      <xdr:colOff>391297</xdr:colOff>
      <xdr:row>65</xdr:row>
      <xdr:rowOff>47625</xdr:rowOff>
    </xdr:from>
    <xdr:to>
      <xdr:col>38</xdr:col>
      <xdr:colOff>209774</xdr:colOff>
      <xdr:row>92</xdr:row>
      <xdr:rowOff>170792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84DF2F49-D375-49A2-9032-BCE85C384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920621" y="11760801"/>
          <a:ext cx="4452260" cy="4988640"/>
        </a:xfrm>
        <a:prstGeom prst="rect">
          <a:avLst/>
        </a:prstGeom>
      </xdr:spPr>
    </xdr:pic>
    <xdr:clientData/>
  </xdr:twoCellAnchor>
  <xdr:twoCellAnchor editAs="oneCell">
    <xdr:from>
      <xdr:col>40</xdr:col>
      <xdr:colOff>686572</xdr:colOff>
      <xdr:row>33</xdr:row>
      <xdr:rowOff>9525</xdr:rowOff>
    </xdr:from>
    <xdr:to>
      <xdr:col>48</xdr:col>
      <xdr:colOff>104084</xdr:colOff>
      <xdr:row>60</xdr:row>
      <xdr:rowOff>27930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76DB1374-7AAD-4F3C-89EC-401807595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394275" y="5956214"/>
          <a:ext cx="5595890" cy="4883878"/>
        </a:xfrm>
        <a:prstGeom prst="rect">
          <a:avLst/>
        </a:prstGeom>
      </xdr:spPr>
    </xdr:pic>
    <xdr:clientData/>
  </xdr:twoCellAnchor>
  <xdr:twoCellAnchor editAs="oneCell">
    <xdr:from>
      <xdr:col>40</xdr:col>
      <xdr:colOff>467497</xdr:colOff>
      <xdr:row>63</xdr:row>
      <xdr:rowOff>9526</xdr:rowOff>
    </xdr:from>
    <xdr:to>
      <xdr:col>49</xdr:col>
      <xdr:colOff>3860</xdr:colOff>
      <xdr:row>92</xdr:row>
      <xdr:rowOff>8834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487C6071-8826-42A7-AEFF-A46C3530C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175200" y="11362296"/>
          <a:ext cx="6482378" cy="5225187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32</xdr:col>
      <xdr:colOff>294475</xdr:colOff>
      <xdr:row>31</xdr:row>
      <xdr:rowOff>193695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320E6E67-6702-4C78-8864-1F41F8E3A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096403" y="583163"/>
          <a:ext cx="6359373" cy="56365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DAE307F-542C-4772-BDEC-D440A68E1178}" name="Tabla9" displayName="Tabla9" ref="A1:S26" totalsRowShown="0" headerRowBorderDxfId="203" tableBorderDxfId="202">
  <autoFilter ref="A1:S26" xr:uid="{5DAE307F-542C-4772-BDEC-D440A68E1178}"/>
  <tableColumns count="19">
    <tableColumn id="1" xr3:uid="{D21E2B44-A1CD-4B3E-94CE-4DB0938B7638}" name="Metrica"/>
    <tableColumn id="2" xr3:uid="{EB7F8DAC-6D09-4AF6-A3F6-EC6B442D1DE0}" name="Paso" dataDxfId="201"/>
    <tableColumn id="3" xr3:uid="{38743704-C35C-45BE-A91E-669ABD344D91}" name="dmax" dataDxfId="200"/>
    <tableColumn id="4" xr3:uid="{69D9EEAD-7EF6-419D-BF6B-A8B4C9E58822}" name="dmin" dataDxfId="199"/>
    <tableColumn id="5" xr3:uid="{09156FF9-0D45-4CEA-A2A7-858EF96A11E0}" name="d2max" dataDxfId="198"/>
    <tableColumn id="6" xr3:uid="{ED160263-E90D-4EB9-A459-143D24C9501A}" name="d2min" dataDxfId="197"/>
    <tableColumn id="7" xr3:uid="{37B6FFCB-326D-4941-B68D-1F6C27968661}" name="d3max" dataDxfId="196"/>
    <tableColumn id="8" xr3:uid="{655E11C0-EC79-44D5-8CD6-00873A3FA950}" name="d3min" dataDxfId="195"/>
    <tableColumn id="9" xr3:uid="{AA56741A-6FC6-4927-A51A-8AB13A0DFB43}" name="D2_min" dataDxfId="194"/>
    <tableColumn id="10" xr3:uid="{BD74C93E-140E-497F-A4FF-36EFC4C0A909}" name="D2_max" dataDxfId="193"/>
    <tableColumn id="11" xr3:uid="{7139B30A-5344-4014-AE27-29A2FD6EADC1}" name="D1min" dataDxfId="192"/>
    <tableColumn id="12" xr3:uid="{E12E5454-92BB-47C7-81E4-B6490F6BB335}" name="D1max" dataDxfId="191"/>
    <tableColumn id="13" xr3:uid="{2914EE89-A40E-4765-AA7D-BB9C819436A8}" name="Ad3" dataDxfId="190"/>
    <tableColumn id="14" xr3:uid="{49B26210-B9BC-432A-BCF7-97F40581539E}" name="As" dataDxfId="189"/>
    <tableColumn id="15" xr3:uid="{1A9EACB6-AA15-4588-A7DB-A6D69A3132A8}" name="d_medio" dataDxfId="188">
      <calculatedColumnFormula>(Tabla9[[#This Row],[dmax]]+Tabla9[[#This Row],[dmin]])/2</calculatedColumnFormula>
    </tableColumn>
    <tableColumn id="16" xr3:uid="{7922CF56-505B-4B99-AEC9-D6D889F80F78}" name="d2_medio" dataDxfId="187">
      <calculatedColumnFormula>(Tabla9[[#This Row],[d2max]]+Tabla9[[#This Row],[d2min]])/2</calculatedColumnFormula>
    </tableColumn>
    <tableColumn id="17" xr3:uid="{57851956-7855-442A-9F6C-57808F5BCA70}" name="d3_medio" dataDxfId="186">
      <calculatedColumnFormula>(Tabla9[[#This Row],[d3max]]+Tabla9[[#This Row],[d3min]])/2</calculatedColumnFormula>
    </tableColumn>
    <tableColumn id="18" xr3:uid="{E3D47901-29DE-41DB-BE64-18E89DE62E0B}" name="D2medio" dataDxfId="185">
      <calculatedColumnFormula>(Tabla9[[#This Row],[D2_min]]+Tabla9[[#This Row],[D2_max]])/2</calculatedColumnFormula>
    </tableColumn>
    <tableColumn id="19" xr3:uid="{1586CE09-28C5-424A-A59C-15D2D9C3CB58}" name="D1_medio" dataDxfId="184">
      <calculatedColumnFormula>(Tabla9[[#This Row],[D1max]]+Tabla9[[#This Row],[D1min]])/2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EF535-CFFF-4E12-8627-25D3404A7211}" name="Tabla1" displayName="Tabla1" ref="A1:N123" totalsRowShown="0" headerRowDxfId="183" dataDxfId="182">
  <autoFilter ref="A1:N123" xr:uid="{FF5EF535-CFFF-4E12-8627-25D3404A7211}"/>
  <tableColumns count="14">
    <tableColumn id="1" xr3:uid="{2EDE3D59-AB31-45FA-9747-85BEE5052466}" name="Metrica" dataDxfId="181"/>
    <tableColumn id="4" xr3:uid="{AAA128F4-6E24-41A3-8B04-12776FC235DE}" name="t2min  x d" dataDxfId="180"/>
    <tableColumn id="5" xr3:uid="{0B7BCA63-B6DD-4439-A2B7-9EEFF29B2AB5}" name="t2_min" dataDxfId="179">
      <calculatedColumnFormula>A2*1 /1000</calculatedColumnFormula>
    </tableColumn>
    <tableColumn id="6" xr3:uid="{A0ACFE12-6B88-4440-8368-EB5EA9730A15}" name="W" dataDxfId="178">
      <calculatedColumnFormula>Helicoil!E2/1000</calculatedColumnFormula>
    </tableColumn>
    <tableColumn id="7" xr3:uid="{D837203D-B541-47DC-96EA-E1075E8AB262}" name="d1_min" dataDxfId="177">
      <calculatedColumnFormula>Helicoil!F2/1000</calculatedColumnFormula>
    </tableColumn>
    <tableColumn id="8" xr3:uid="{9AD45811-52AE-4FE9-93A0-B1BC95F757B6}" name="d1_max" dataDxfId="176">
      <calculatedColumnFormula>Helicoil!G2/1000</calculatedColumnFormula>
    </tableColumn>
    <tableColumn id="9" xr3:uid="{E7BFF6B7-537A-4889-ACA5-8796A155F4A8}" name="D1Hc_min" dataDxfId="175">
      <calculatedColumnFormula>Helicoil!H2/1000</calculatedColumnFormula>
    </tableColumn>
    <tableColumn id="10" xr3:uid="{F04C6B24-3A5F-4351-8ED3-5B291A92A44A}" name="D1Hc_max" dataDxfId="174">
      <calculatedColumnFormula>Helicoil!I2</calculatedColumnFormula>
    </tableColumn>
    <tableColumn id="11" xr3:uid="{71EFC179-A869-46C3-B3F3-7ECD3ACE73FB}" name="B" dataDxfId="173">
      <calculatedColumnFormula>Helicoil!J2/1000</calculatedColumnFormula>
    </tableColumn>
    <tableColumn id="12" xr3:uid="{60334BD7-473A-4AE9-88C0-E565AFE619D8}" name="t3_max" dataDxfId="172">
      <calculatedColumnFormula>Helicoil!K2/1000</calculatedColumnFormula>
    </tableColumn>
    <tableColumn id="13" xr3:uid="{FE80C7CE-3E17-43B3-A6D0-588AFC812317}" name="DHc_min" dataDxfId="171">
      <calculatedColumnFormula>Helicoil!L2/1000</calculatedColumnFormula>
    </tableColumn>
    <tableColumn id="2" xr3:uid="{ED38323B-C232-4EA4-992E-EA3A62D01924}" name="d1_medio" dataDxfId="170">
      <calculatedColumnFormula>(Tabla1[[#This Row],[d1_min]]+Tabla1[[#This Row],[d1_max]])/2</calculatedColumnFormula>
    </tableColumn>
    <tableColumn id="3" xr3:uid="{B9A9AA91-0C1E-4024-83AE-416EF55C6EDD}" name="D1Hc_medio" dataDxfId="169">
      <calculatedColumnFormula>(Tabla1[[#This Row],[D1Hc_min]]+Tabla1[[#This Row],[D1Hc_max]]/1000)/2</calculatedColumnFormula>
    </tableColumn>
    <tableColumn id="14" xr3:uid="{17B0AFFA-E547-49A0-B651-2E76FF210BB8}" name="W_mm" dataDxfId="168">
      <calculatedColumnFormula>Tabla1[[#This Row],[W]]*1000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8C5365-A1CF-4270-911C-27DF7C95FC93}" name="Tabla4" displayName="Tabla4" ref="A1:X21" totalsRowShown="0" headerRowDxfId="167" dataDxfId="166" tableBorderDxfId="165">
  <autoFilter ref="A1:X21" xr:uid="{9F8C5365-A1CF-4270-911C-27DF7C95FC93}"/>
  <tableColumns count="24">
    <tableColumn id="1" xr3:uid="{65039C3B-816F-4FCB-9B33-C87195C57B49}" name="`Thread d`" dataDxfId="164"/>
    <tableColumn id="2" xr3:uid="{A05A119F-5D40-4F63-87A4-0FE5B6347EC6}" name="`Nominal d`" dataDxfId="163"/>
    <tableColumn id="3" xr3:uid="{629EFE07-A829-4594-9FAA-DCBE610DA28E}" name="`P`" dataDxfId="162"/>
    <tableColumn id="4" xr3:uid="{DF525144-A478-4569-A492-0C8CE51CA89F}" name="`b`" dataDxfId="161"/>
    <tableColumn id="5" xr3:uid="{57381D63-CEE8-4203-A89C-C2F53A5BCA84}" name="`dk max.`" dataDxfId="160"/>
    <tableColumn id="6" xr3:uid="{0FF464AF-8083-4F71-94E2-9BD172F4E16D}" name="`dk max. for grooved head`" dataDxfId="159"/>
    <tableColumn id="7" xr3:uid="{F4427A5A-4DBA-429A-979B-44D1F914301B}" name="`dk min.`" dataDxfId="158"/>
    <tableColumn id="8" xr3:uid="{BFEC2FCD-9003-465F-AE26-EB391234E440}" name="`da max.`" dataDxfId="157"/>
    <tableColumn id="9" xr3:uid="{4C92913C-B3AA-4A35-AEB3-7B57389EA558}" name="`ds max.`" dataDxfId="156"/>
    <tableColumn id="10" xr3:uid="{C6D7C267-8B79-4AD2-A014-E0A5DD5C4321}" name="`ds min.`" dataDxfId="155"/>
    <tableColumn id="11" xr3:uid="{56EDFFAA-D877-4FBE-9800-983BCA1D266A}" name="`e min.`" dataDxfId="154"/>
    <tableColumn id="12" xr3:uid="{D60193C7-831C-492B-8EC6-9672D7B52D92}" name="`h max.`" dataDxfId="153"/>
    <tableColumn id="13" xr3:uid="{C464187D-A759-421B-BBD4-2E856A623161}" name="`k max.`" dataDxfId="152"/>
    <tableColumn id="14" xr3:uid="{4E86757E-C287-47F4-AFF0-3C9AAB76BE05}" name="`k min.`" dataDxfId="151"/>
    <tableColumn id="15" xr3:uid="{0CCDFB99-25EB-4E91-9C07-A2DF9F628CD2}" name="`r min.`" dataDxfId="150"/>
    <tableColumn id="16" xr3:uid="{1CFDE9CD-F218-40E8-9880-49D8EC51AB04}" name="`s nominal`" dataDxfId="149"/>
    <tableColumn id="17" xr3:uid="{430CB2D9-2EC2-4CDC-82C9-4C4594FEDAAE}" name="`s max.`" dataDxfId="148"/>
    <tableColumn id="18" xr3:uid="{1288A2DE-050E-41F7-ADBF-F3B4701638E6}" name="`s min.`" dataDxfId="147"/>
    <tableColumn id="19" xr3:uid="{74A5FEC5-B580-4914-97C5-BF1B291AFC02}" name="`t min.`" dataDxfId="146"/>
    <tableColumn id="20" xr3:uid="{7AED27D1-E3B1-4DBD-9007-9AF46C664161}" name="`v max.`" dataDxfId="145"/>
    <tableColumn id="21" xr3:uid="{71FA5DFD-B25E-44E5-80A2-C4DAA72DFB40}" name="`dw min.`" dataDxfId="144"/>
    <tableColumn id="22" xr3:uid="{12EBF9B2-76A3-41EA-9E83-25120242B831}" name="`w min.`" dataDxfId="143"/>
    <tableColumn id="23" xr3:uid="{11D36ABE-73F4-447B-AF0A-A0C8EC391012}" name="`dk media`" dataDxfId="142">
      <calculatedColumnFormula>(Tabla4[[#This Row],[`dk max.`]]+Tabla4[[#This Row],[`dk min.`]])/2</calculatedColumnFormula>
    </tableColumn>
    <tableColumn id="24" xr3:uid="{29505629-BBB4-48DF-9F8E-70FD449C13D2}" name="`k media`" dataDxfId="141">
      <calculatedColumnFormula>(Tabla4[[#This Row],[`k max.`]]+Tabla4[[#This Row],[`k min.`]])/2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86103B-8D03-4CEB-9D5D-BB6AF22506DE}" name="Tabla5" displayName="Tabla5" ref="A1:J30" totalsRowShown="0" headerRowDxfId="140" dataDxfId="139" tableBorderDxfId="138">
  <autoFilter ref="A1:J30" xr:uid="{CB86103B-8D03-4CEB-9D5D-BB6AF22506DE}"/>
  <tableColumns count="10">
    <tableColumn id="1" xr3:uid="{F1F60A6E-C845-4BDE-B45D-1EC5080C2D38}" name="`Nominal Size (d)`" dataDxfId="137"/>
    <tableColumn id="2" xr3:uid="{E1A67913-C305-42B8-95F6-7293DA1390EC}" name="`Clearance Hole d1 (min)`" dataDxfId="136"/>
    <tableColumn id="3" xr3:uid="{BC522FC1-BB01-4071-9364-E0F9877F2425}" name="`Clearance Hole d1 (max)`" dataDxfId="135"/>
    <tableColumn id="4" xr3:uid="{A4DE76E6-AC0C-4FE5-A69B-9636F5295079}" name="`Outside d2 (nom)`" dataDxfId="134"/>
    <tableColumn id="5" xr3:uid="{06229580-C908-4028-BE68-DAF1D5F47283}" name="`d2 (min)`" dataDxfId="133"/>
    <tableColumn id="6" xr3:uid="{8C3B2B25-4E59-4185-8A34-0383AFD17952}" name="`Thickness h (nom)`" dataDxfId="132"/>
    <tableColumn id="7" xr3:uid="{E03A653E-61FC-419C-84E3-57864C980786}" name="`h (max)`" dataDxfId="131"/>
    <tableColumn id="8" xr3:uid="{7427C382-43E3-4CC1-A898-97EA96C629C3}" name="`h (min)`" dataDxfId="130"/>
    <tableColumn id="9" xr3:uid="{99B542D6-BAEA-4D2B-9657-10211F5B91D4}" name="`d_int_medio`" dataDxfId="129">
      <calculatedColumnFormula>(Tabla5[[#This Row],[`Clearance Hole d1 (min)`]]+Tabla5[[#This Row],[`Clearance Hole d1 (max)`]])/2</calculatedColumnFormula>
    </tableColumn>
    <tableColumn id="10" xr3:uid="{3E1106EE-A45C-43B6-8D60-77AE914CFEB5}" name="`d_ext_Medio`" dataDxfId="128">
      <calculatedColumnFormula>(Tabla5[[#This Row],[`Outside d2 (nom)`]]+Tabla5[[#This Row],[`d2 (min)`]])/2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0DB6B7-A1E0-47DF-AAEF-28613018F208}" name="Tabla6" displayName="Tabla6" ref="A1:AQ37" totalsRowShown="0" headerRowDxfId="127" dataDxfId="125" headerRowBorderDxfId="126" tableBorderDxfId="124" totalsRowBorderDxfId="123">
  <autoFilter ref="A1:AQ37" xr:uid="{2B0DB6B7-A1E0-47DF-AAEF-28613018F208}"/>
  <tableColumns count="43">
    <tableColumn id="1" xr3:uid="{20EFA6AE-533F-428E-B53F-900FEF2649D2}" name="l_nominal" dataDxfId="122"/>
    <tableColumn id="2" xr3:uid="{72FB5859-C86B-49E7-96FC-E6831BE07602}" name="l_min" dataDxfId="121"/>
    <tableColumn id="3" xr3:uid="{F9096EB8-2AA6-42DE-8128-6489BF140FA8}" name="l_max" dataDxfId="120"/>
    <tableColumn id="4" xr3:uid="{92476F97-3DB6-4C8E-A3D6-34ACEDB6A1D2}" name="M1_6_ls_min" dataDxfId="119"/>
    <tableColumn id="5" xr3:uid="{3CB996D9-AFC6-4EDF-B12B-A572B8D73C12}" name="M1_6_lg_max" dataDxfId="118"/>
    <tableColumn id="6" xr3:uid="{CA35DE14-0A74-4786-A64B-B5993EB875FE}" name="M2_ls_min" dataDxfId="117"/>
    <tableColumn id="7" xr3:uid="{C72ED5DB-A41E-4374-A09F-1E8259833620}" name="M2_lg_max" dataDxfId="116"/>
    <tableColumn id="8" xr3:uid="{10BED2F0-2883-407B-82A1-9EC9C44A6ADB}" name="M2_5_ls_min" dataDxfId="115"/>
    <tableColumn id="9" xr3:uid="{6C79A604-6A17-455E-8ACA-57335837403D}" name="M2_5_lg_max" dataDxfId="114"/>
    <tableColumn id="10" xr3:uid="{46752288-3AD2-463D-A904-750314750657}" name="M3_ls_min" dataDxfId="113"/>
    <tableColumn id="11" xr3:uid="{FCCFAEB7-D684-4006-B192-2CB327BC635B}" name="M3_lg_max" dataDxfId="112"/>
    <tableColumn id="12" xr3:uid="{51B1BB22-9C46-4676-8161-C4CE116C1819}" name="M4_ls_min" dataDxfId="111"/>
    <tableColumn id="13" xr3:uid="{DC915DEB-8169-4220-8CFA-A96924AAC76D}" name="M4_lg_max" dataDxfId="110"/>
    <tableColumn id="14" xr3:uid="{99695F50-4AFA-4157-950B-19585DBC4B7E}" name="M5_ls_min" dataDxfId="109"/>
    <tableColumn id="15" xr3:uid="{85960144-4A73-4DE1-9737-8F72FCE5AC05}" name="M5_lg_max" dataDxfId="108"/>
    <tableColumn id="16" xr3:uid="{72CC84AF-B7B9-44F9-A5A4-0DE35C687026}" name="M6_ls_min" dataDxfId="107"/>
    <tableColumn id="17" xr3:uid="{2CC26C24-4F2F-44A3-8B25-CB94EB34A8FF}" name="M6_lg_max" dataDxfId="106"/>
    <tableColumn id="18" xr3:uid="{219C058C-BE6B-47D2-B232-5BA348D33126}" name="M8_ls_min" dataDxfId="105"/>
    <tableColumn id="19" xr3:uid="{BA6AB892-A0D3-4871-9709-094318EEA7E3}" name="M8_lg_max" dataDxfId="104"/>
    <tableColumn id="20" xr3:uid="{D7743E07-97CC-480E-86B9-B571A6A2457F}" name="M10_ls_min" dataDxfId="103"/>
    <tableColumn id="21" xr3:uid="{F5055D0B-C806-4A2F-8142-C9A5176548D5}" name="M10_lg_max" dataDxfId="102"/>
    <tableColumn id="22" xr3:uid="{E6159B00-3CB6-420D-9384-4AF32F9296DB}" name="M12_ls_min" dataDxfId="101"/>
    <tableColumn id="23" xr3:uid="{0A5DA7EB-419C-4E5D-A38D-E546F71F0132}" name="M12_lg_max" dataDxfId="100"/>
    <tableColumn id="24" xr3:uid="{208CFC0D-CBB8-4CA6-8EEB-D3371A64A447}" name="M14_ls_min" dataDxfId="99"/>
    <tableColumn id="25" xr3:uid="{DC2A4A7F-2330-4C9A-928F-DB69BDF20AFC}" name="M14_lg_max" dataDxfId="98"/>
    <tableColumn id="26" xr3:uid="{4C932E50-CEE1-4A5F-8DD2-C621FC72C014}" name="M16_ls_min" dataDxfId="97"/>
    <tableColumn id="27" xr3:uid="{84DC1686-A30F-490D-A888-32D238B1AB85}" name="M16_lg_max" dataDxfId="96"/>
    <tableColumn id="28" xr3:uid="{A05ADD7B-815F-45B4-B930-5CF8E8589D5C}" name="M20_ls_min" dataDxfId="95"/>
    <tableColumn id="29" xr3:uid="{43948A82-72B7-42F3-AA37-9660C5D23CA9}" name="M20_lg_max" dataDxfId="94"/>
    <tableColumn id="30" xr3:uid="{9F5A2EBE-1D11-400F-A708-8D9A1CA6F35C}" name="M24_ls_min" dataDxfId="93"/>
    <tableColumn id="31" xr3:uid="{E4B5D320-D46A-41C0-A8ED-9B289DE57E5F}" name="M24_lg_max" dataDxfId="92"/>
    <tableColumn id="32" xr3:uid="{5870F081-94A3-44DA-AF28-B52BEF01C42A}" name="M30_ls_min" dataDxfId="91"/>
    <tableColumn id="33" xr3:uid="{BA66A6E0-E8D1-42FA-B78E-1F411826183D}" name="M30_lg_max" dataDxfId="90"/>
    <tableColumn id="34" xr3:uid="{30F410A5-B8D5-427B-89DF-3482530C1173}" name="M36_ls_min" dataDxfId="89"/>
    <tableColumn id="35" xr3:uid="{BDD092B9-5E3D-4574-B96F-4F209DE903E3}" name="M36_lg_max" dataDxfId="88"/>
    <tableColumn id="36" xr3:uid="{190A1289-8B66-4BC1-9205-F78E6DE2EE21}" name="M42_ls_min" dataDxfId="87"/>
    <tableColumn id="37" xr3:uid="{ADABD949-6541-4ABC-8FC6-FC8EEFF0FBDE}" name="M42_lg_max" dataDxfId="86"/>
    <tableColumn id="38" xr3:uid="{302A9D74-1DDF-4C76-AC92-4020C8F4FC12}" name="M48_ls_min" dataDxfId="85"/>
    <tableColumn id="39" xr3:uid="{78600029-A603-43FB-B982-2E1F08D43077}" name="M48_lg_max" dataDxfId="84"/>
    <tableColumn id="40" xr3:uid="{1A6A1804-E768-41AB-9547-DB5D944AE688}" name="M56_ls_min" dataDxfId="83"/>
    <tableColumn id="41" xr3:uid="{342DD5FA-BAED-4413-947B-0FDBB9D585EC}" name="M56_lg_max" dataDxfId="82"/>
    <tableColumn id="42" xr3:uid="{F37E8DC8-004E-43BF-A7B1-5287C0692860}" name="M64_ls_min" dataDxfId="81"/>
    <tableColumn id="43" xr3:uid="{0484383C-5DCC-462F-AA8B-53C7C09F7FED}" name="M64_lg_max" dataDxfId="8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39E5C7-0C65-4634-86A3-5682491CE7B4}" name="Tabla8" displayName="Tabla8" ref="A1:D25" totalsRowShown="0" headerRowDxfId="79" dataDxfId="78">
  <autoFilter ref="A1:D25" xr:uid="{4239E5C7-0C65-4634-86A3-5682491CE7B4}"/>
  <tableColumns count="4">
    <tableColumn id="1" xr3:uid="{5BBEA473-8434-49E7-BAA3-04E88C236E5C}" name="Thread pitch, P" dataDxfId="77"/>
    <tableColumn id="2" xr3:uid="{8044B394-7D42-493A-B4D9-41DA4C32180D}" name="e1_Normal" dataDxfId="76"/>
    <tableColumn id="3" xr3:uid="{0144708F-45BB-47F8-BB9D-8699A6618520}" name="e2_Short" dataDxfId="75"/>
    <tableColumn id="4" xr3:uid="{45D43001-276F-4067-BD64-E1A4D9A69CDB}" name="e3_Long" dataDxfId="7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C9CC4F-0BB4-402A-A6A0-45F81E52DFE7}" name="Tabla68" displayName="Tabla68" ref="A1:AQ37" totalsRowShown="0" headerRowDxfId="73" dataDxfId="71" headerRowBorderDxfId="72" tableBorderDxfId="70" totalsRowBorderDxfId="69">
  <autoFilter ref="A1:AQ37" xr:uid="{2B0DB6B7-A1E0-47DF-AAEF-28613018F208}"/>
  <tableColumns count="43">
    <tableColumn id="1" xr3:uid="{37FF0370-A394-447D-B35A-84E60D36FD16}" name="l_nominal" dataDxfId="68"/>
    <tableColumn id="2" xr3:uid="{4988A6BC-4E09-4E38-97A2-90E63FF49AC0}" name="l_min" dataDxfId="67"/>
    <tableColumn id="3" xr3:uid="{F427111B-B0B3-46C0-AF76-01CD24E1E02D}" name="l_max" dataDxfId="66"/>
    <tableColumn id="4" xr3:uid="{A3745329-563B-4CA3-8C5A-958D04BE0D09}" name="M1_6_ls_min" dataDxfId="65"/>
    <tableColumn id="5" xr3:uid="{25145030-B99D-48F6-8AE2-720DA3AD14B5}" name="M1_6_lg_max" dataDxfId="64"/>
    <tableColumn id="6" xr3:uid="{C5E51FD4-E854-4640-92FB-2E034366078F}" name="M2_ls_min" dataDxfId="63"/>
    <tableColumn id="7" xr3:uid="{11AD50FD-C205-413C-A5F3-4312A1D76667}" name="M2_lg_max" dataDxfId="62"/>
    <tableColumn id="8" xr3:uid="{DC82CDC3-27EC-4A86-B281-0971D439287A}" name="M2_5_ls_min" dataDxfId="61"/>
    <tableColumn id="9" xr3:uid="{440BA582-DE53-40FA-8BF7-D6D77797255A}" name="M2_5_lg_max" dataDxfId="60"/>
    <tableColumn id="10" xr3:uid="{4CDE5E58-62D4-4BA4-BD1B-60D171B29E19}" name="M3_ls_min" dataDxfId="59"/>
    <tableColumn id="11" xr3:uid="{B01A2B27-849B-4334-BD63-9AA1FBE4AD2A}" name="M3_lg_max" dataDxfId="58"/>
    <tableColumn id="12" xr3:uid="{80700FA2-19EC-43EF-94C2-6871B3A631E9}" name="M4_ls_min" dataDxfId="57"/>
    <tableColumn id="13" xr3:uid="{B8F18287-62C7-4E7D-BB2E-8B8F5EC69789}" name="M4_lg_max" dataDxfId="56"/>
    <tableColumn id="14" xr3:uid="{1C2C81DD-3FD4-4CA1-AAB1-90653E174081}" name="M5_ls_min" dataDxfId="55"/>
    <tableColumn id="15" xr3:uid="{084773B0-4DE4-4FE2-B2AB-14BE02D704C1}" name="M5_lg_max" dataDxfId="54"/>
    <tableColumn id="16" xr3:uid="{BE7D76BC-072B-439F-823E-31A34893D28C}" name="M6_ls_min" dataDxfId="53"/>
    <tableColumn id="17" xr3:uid="{FCA0EBB5-C7D3-4545-B99F-AB8342753B7B}" name="M6_lg_max" dataDxfId="52"/>
    <tableColumn id="18" xr3:uid="{F60D49FF-36C6-4D0A-8B6D-D800C46FA6E6}" name="M8_ls_min" dataDxfId="51"/>
    <tableColumn id="19" xr3:uid="{FF04CF8E-651F-434C-9539-2C96EAE15800}" name="M8_lg_max" dataDxfId="50"/>
    <tableColumn id="20" xr3:uid="{E4BBAD81-EFDF-4287-9824-9DFA04D91BD1}" name="M10_ls_min" dataDxfId="49"/>
    <tableColumn id="21" xr3:uid="{C0D04630-D24D-4CCD-9083-C6B84CCD554F}" name="M10_lg_max" dataDxfId="48"/>
    <tableColumn id="22" xr3:uid="{A9D56ECA-8973-451B-BB8A-36B5B97FAAA9}" name="M12_ls_min" dataDxfId="47"/>
    <tableColumn id="23" xr3:uid="{FF83C99C-005A-4B7C-B7EA-57D973A96F8D}" name="M12_lg_max" dataDxfId="46"/>
    <tableColumn id="24" xr3:uid="{1995E6D4-8EBF-4829-BF10-B420E6E9ECAA}" name="M14_ls_min" dataDxfId="45"/>
    <tableColumn id="25" xr3:uid="{A3FFAE14-49CC-4809-A043-79E03F560655}" name="M14_lg_max" dataDxfId="44"/>
    <tableColumn id="26" xr3:uid="{93163F66-C5D8-4280-B209-599C713E3CBF}" name="M16_ls_min" dataDxfId="43"/>
    <tableColumn id="27" xr3:uid="{22AD8933-0B04-48AE-A3AC-BE25A7B7FF29}" name="M16_lg_max" dataDxfId="42"/>
    <tableColumn id="28" xr3:uid="{EE653BEE-3F9B-4D7F-96A0-902F4F37360F}" name="M20_ls_min" dataDxfId="41"/>
    <tableColumn id="29" xr3:uid="{D366F144-C2C0-40F9-99E5-8F9A60A71175}" name="M20_lg_max" dataDxfId="40"/>
    <tableColumn id="30" xr3:uid="{91271BAD-2670-4B15-B2F1-3FB2E40AB471}" name="M24_ls_min" dataDxfId="39"/>
    <tableColumn id="31" xr3:uid="{E4E12330-6934-4591-8857-EB1FAFC678A5}" name="M24_lg_max" dataDxfId="38"/>
    <tableColumn id="32" xr3:uid="{6EDB9283-274C-439B-8632-BCFBE0F53890}" name="M30_ls_min" dataDxfId="37"/>
    <tableColumn id="33" xr3:uid="{60707D85-02C3-4045-B4DF-EB8E6126D6EF}" name="M30_lg_max" dataDxfId="36"/>
    <tableColumn id="34" xr3:uid="{1C5CBA12-401E-4D8F-81A9-E4480DB82F2C}" name="M36_ls_min" dataDxfId="35"/>
    <tableColumn id="35" xr3:uid="{980F494B-F3DA-4FD6-9775-5F81467342BD}" name="M36_lg_max" dataDxfId="34"/>
    <tableColumn id="36" xr3:uid="{FDA5237A-3C48-4D00-B38A-C484BBD7511E}" name="M42_ls_min" dataDxfId="33"/>
    <tableColumn id="37" xr3:uid="{C21BDCDB-F781-4C1A-89B2-A912FACD1C19}" name="M42_lg_max" dataDxfId="32"/>
    <tableColumn id="38" xr3:uid="{6FAB5D2C-40F9-4AB3-90E1-6003A3342C03}" name="M48_ls_min" dataDxfId="31"/>
    <tableColumn id="39" xr3:uid="{6E22C301-E308-47FC-89DB-9D997E629FA2}" name="M48_lg_max" dataDxfId="30"/>
    <tableColumn id="40" xr3:uid="{E26BAD58-B92F-4852-BAFC-DF7242FEDC8A}" name="M56_ls_min" dataDxfId="29"/>
    <tableColumn id="41" xr3:uid="{F43B692A-FDEC-400C-99D9-479156E23357}" name="M56_lg_max" dataDxfId="28"/>
    <tableColumn id="42" xr3:uid="{A1DE5798-16CE-4F7F-8BAA-7FB6B7396AE7}" name="M64_ls_min" dataDxfId="27"/>
    <tableColumn id="43" xr3:uid="{8AA211DD-3A4A-48EB-AB51-9BB4AC63B99F}" name="M64_lg_max" dataDxfId="2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7D9C35-B01F-447B-BEF8-A26D1AF09DC4}" name="Tabla13" displayName="Tabla13" ref="A1:N116" totalsRowShown="0" headerRowDxfId="25" dataDxfId="24">
  <autoFilter ref="A1:N116" xr:uid="{FF5EF535-CFFF-4E12-8627-25D3404A7211}"/>
  <tableColumns count="14">
    <tableColumn id="1" xr3:uid="{BAEF9D6B-395B-4363-BE8B-05544766BF6B}" name="Metrica" dataDxfId="23"/>
    <tableColumn id="2" xr3:uid="{91CC4308-C199-4D22-9083-414B2B864A91}" name="M" dataDxfId="22">
      <calculatedColumnFormula>Tabla13[[#This Row],[Metrica]]/1000</calculatedColumnFormula>
    </tableColumn>
    <tableColumn id="3" xr3:uid="{B8A06A2F-96FD-473C-A8BD-51063873B6D8}" name="P" dataDxfId="21">
      <calculatedColumnFormula>Helicoil!B2/1000</calculatedColumnFormula>
    </tableColumn>
    <tableColumn id="4" xr3:uid="{9404B493-3259-4ACA-955B-BD17D3A664D9}" name="t2min  x d" dataDxfId="20"/>
    <tableColumn id="5" xr3:uid="{D8BD6DB1-09C2-4739-BA0A-3F9858A9CD32}" name="t2_min" dataDxfId="19">
      <calculatedColumnFormula>A2*1 /1000</calculatedColumnFormula>
    </tableColumn>
    <tableColumn id="6" xr3:uid="{3EC25812-10E8-4481-BCE0-37BAFF981290}" name="W" dataDxfId="18">
      <calculatedColumnFormula>Helicoil!E2/1000</calculatedColumnFormula>
    </tableColumn>
    <tableColumn id="7" xr3:uid="{D78D08D0-6A5C-4D5C-8D13-F1637ADAC1B9}" name="d1_min" dataDxfId="17">
      <calculatedColumnFormula>Helicoil!F2/1000</calculatedColumnFormula>
    </tableColumn>
    <tableColumn id="8" xr3:uid="{710CCE74-A6B2-4319-B2E4-D95F4DE0E502}" name="d1_max" dataDxfId="16">
      <calculatedColumnFormula>Helicoil!G2/1000</calculatedColumnFormula>
    </tableColumn>
    <tableColumn id="9" xr3:uid="{4E84E586-7976-4921-B95F-417C697E3ADF}" name="D1Hc_min" dataDxfId="15">
      <calculatedColumnFormula>Helicoil!H2/1000</calculatedColumnFormula>
    </tableColumn>
    <tableColumn id="10" xr3:uid="{B62566F4-67AE-4E6D-93CE-C12182D4F936}" name="D1Hc_max" dataDxfId="14">
      <calculatedColumnFormula>Helicoil!I2/1000</calculatedColumnFormula>
    </tableColumn>
    <tableColumn id="11" xr3:uid="{ADAB5F84-E394-430C-A8B5-3C6215FFCEA2}" name="B" dataDxfId="13">
      <calculatedColumnFormula>Helicoil!J2/1000</calculatedColumnFormula>
    </tableColumn>
    <tableColumn id="12" xr3:uid="{EC7733B9-B302-4FEB-B608-3455D863AF03}" name="t3_max" dataDxfId="12">
      <calculatedColumnFormula>Helicoil!K2/1000</calculatedColumnFormula>
    </tableColumn>
    <tableColumn id="13" xr3:uid="{46E6601E-A139-4C8A-ACD2-2CB0776CD3DD}" name="DHc_min" dataDxfId="11">
      <calculatedColumnFormula>Helicoil!L2/1000</calculatedColumnFormula>
    </tableColumn>
    <tableColumn id="14" xr3:uid="{8AB6D88B-B1EF-43F2-A9F9-19FEFB8D08BE}" name="M2" dataDxfId="10">
      <calculatedColumnFormula>Tabla13[[#This Row],[Metrica]]/1000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9A364A-6AD4-42F7-8A1F-30EDD545DC8B}" name="Tabla3" displayName="Tabla3" ref="A1:L1048576" totalsRowShown="0" headerRowDxfId="9">
  <autoFilter ref="A1:L1048576" xr:uid="{199A364A-6AD4-42F7-8A1F-30EDD545DC8B}"/>
  <tableColumns count="12">
    <tableColumn id="1" xr3:uid="{9A7C2137-8E81-455E-AB07-6749ADDBC46A}" name="Metrica"/>
    <tableColumn id="2" xr3:uid="{C7206000-1C86-4E3D-BAB2-0F9FBF0EAB26}" name="Paso"/>
    <tableColumn id="3" xr3:uid="{8F6E2515-8A24-455F-952D-96F228597BB4}" name="t2min  x d"/>
    <tableColumn id="4" xr3:uid="{B7DB30D7-C42C-440B-9140-8CFB69BA5121}" name="t2_min" dataDxfId="8"/>
    <tableColumn id="5" xr3:uid="{95F87D18-991C-477B-B9D5-D29906F8F22A}" name="W" dataDxfId="7"/>
    <tableColumn id="6" xr3:uid="{5DC190FE-BBF5-4266-BB63-47F94A4EE94E}" name="d1_min" dataDxfId="6"/>
    <tableColumn id="7" xr3:uid="{2B1EA4BC-6C88-4876-91A5-3761A471F62E}" name="d1_max" dataDxfId="5"/>
    <tableColumn id="8" xr3:uid="{6CB533B9-74B3-404A-A673-90C49C1BCE8B}" name="D1Hc_min" dataDxfId="4"/>
    <tableColumn id="9" xr3:uid="{ACBD7E04-B3BC-48A1-BE3C-B56A49F3CCE1}" name="D1Hc_max" dataDxfId="3"/>
    <tableColumn id="10" xr3:uid="{3A327FAA-0887-452C-8E21-41FF80D90A9D}" name="B" dataDxfId="2"/>
    <tableColumn id="11" xr3:uid="{E957C319-4D82-48F7-939C-ED5E72E90C0C}" name="t3_max" dataDxfId="1"/>
    <tableColumn id="12" xr3:uid="{F60F2884-1BB1-4992-A970-23BCBA23363D}" name="DHc_m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7"/>
  <sheetViews>
    <sheetView zoomScale="85" zoomScaleNormal="85" workbookViewId="0">
      <selection activeCell="H97" sqref="H97:I98"/>
    </sheetView>
  </sheetViews>
  <sheetFormatPr baseColWidth="10" defaultColWidth="9.109375" defaultRowHeight="14.4" x14ac:dyDescent="0.3"/>
  <cols>
    <col min="1" max="1" width="29.33203125" customWidth="1"/>
    <col min="2" max="2" width="7.109375" customWidth="1"/>
    <col min="3" max="3" width="61.109375" customWidth="1"/>
    <col min="4" max="4" width="25.6640625" customWidth="1"/>
  </cols>
  <sheetData>
    <row r="1" spans="1:14" x14ac:dyDescent="0.3">
      <c r="D1" t="s">
        <v>134</v>
      </c>
      <c r="E1" t="s">
        <v>146</v>
      </c>
      <c r="J1" t="s">
        <v>140</v>
      </c>
    </row>
    <row r="2" spans="1:14" x14ac:dyDescent="0.3">
      <c r="A2" t="s">
        <v>81</v>
      </c>
      <c r="C2" s="14" t="s">
        <v>105</v>
      </c>
      <c r="D2" t="s">
        <v>135</v>
      </c>
      <c r="E2" s="18" t="s">
        <v>144</v>
      </c>
      <c r="J2" t="s">
        <v>81</v>
      </c>
    </row>
    <row r="3" spans="1:14" x14ac:dyDescent="0.3">
      <c r="A3" t="s">
        <v>82</v>
      </c>
      <c r="C3" s="14" t="s">
        <v>136</v>
      </c>
      <c r="D3" t="s">
        <v>135</v>
      </c>
      <c r="E3" s="18" t="s">
        <v>144</v>
      </c>
      <c r="J3" t="s">
        <v>82</v>
      </c>
    </row>
    <row r="4" spans="1:14" x14ac:dyDescent="0.3">
      <c r="A4" t="s">
        <v>83</v>
      </c>
      <c r="C4" s="14" t="s">
        <v>139</v>
      </c>
      <c r="E4" s="18" t="s">
        <v>144</v>
      </c>
      <c r="J4" t="s">
        <v>137</v>
      </c>
    </row>
    <row r="5" spans="1:14" x14ac:dyDescent="0.3">
      <c r="A5" t="s">
        <v>84</v>
      </c>
      <c r="B5">
        <v>16.25</v>
      </c>
      <c r="C5" s="14" t="s">
        <v>108</v>
      </c>
      <c r="D5" t="s">
        <v>144</v>
      </c>
      <c r="E5" s="19" t="s">
        <v>147</v>
      </c>
      <c r="J5" t="s">
        <v>141</v>
      </c>
    </row>
    <row r="6" spans="1:14" x14ac:dyDescent="0.3">
      <c r="A6" t="s">
        <v>85</v>
      </c>
      <c r="C6" s="14" t="s">
        <v>143</v>
      </c>
      <c r="D6" t="s">
        <v>144</v>
      </c>
      <c r="E6" s="18" t="s">
        <v>144</v>
      </c>
      <c r="J6" t="s">
        <v>85</v>
      </c>
    </row>
    <row r="7" spans="1:14" x14ac:dyDescent="0.3">
      <c r="A7" t="s">
        <v>81</v>
      </c>
      <c r="C7" s="15"/>
      <c r="E7" s="18" t="s">
        <v>144</v>
      </c>
    </row>
    <row r="8" spans="1:14" x14ac:dyDescent="0.3">
      <c r="A8" t="s">
        <v>86</v>
      </c>
      <c r="C8" s="14" t="s">
        <v>149</v>
      </c>
      <c r="E8" t="s">
        <v>147</v>
      </c>
    </row>
    <row r="9" spans="1:14" x14ac:dyDescent="0.3">
      <c r="A9" t="s">
        <v>87</v>
      </c>
      <c r="C9" s="14" t="s">
        <v>111</v>
      </c>
      <c r="E9" s="18" t="s">
        <v>144</v>
      </c>
      <c r="J9" t="s">
        <v>145</v>
      </c>
    </row>
    <row r="10" spans="1:14" x14ac:dyDescent="0.3">
      <c r="A10" t="s">
        <v>9</v>
      </c>
      <c r="C10" s="14" t="s">
        <v>112</v>
      </c>
      <c r="E10" t="s">
        <v>147</v>
      </c>
    </row>
    <row r="11" spans="1:14" ht="28.8" x14ac:dyDescent="0.3">
      <c r="A11" t="s">
        <v>88</v>
      </c>
      <c r="C11" s="14" t="s">
        <v>113</v>
      </c>
      <c r="E11" t="s">
        <v>147</v>
      </c>
    </row>
    <row r="12" spans="1:14" x14ac:dyDescent="0.3">
      <c r="A12" t="s">
        <v>6</v>
      </c>
      <c r="C12" s="14" t="s">
        <v>114</v>
      </c>
      <c r="E12" s="18" t="s">
        <v>144</v>
      </c>
    </row>
    <row r="13" spans="1:14" x14ac:dyDescent="0.3">
      <c r="A13" t="s">
        <v>89</v>
      </c>
      <c r="C13" s="14" t="s">
        <v>115</v>
      </c>
      <c r="E13" s="18" t="s">
        <v>144</v>
      </c>
    </row>
    <row r="14" spans="1:14" ht="28.8" x14ac:dyDescent="0.3">
      <c r="A14" t="s">
        <v>90</v>
      </c>
      <c r="C14" s="14" t="s">
        <v>116</v>
      </c>
      <c r="E14" t="s">
        <v>147</v>
      </c>
      <c r="N14" t="s">
        <v>142</v>
      </c>
    </row>
    <row r="15" spans="1:14" x14ac:dyDescent="0.3">
      <c r="A15" t="s">
        <v>137</v>
      </c>
      <c r="C15" s="14" t="s">
        <v>138</v>
      </c>
      <c r="D15" t="s">
        <v>135</v>
      </c>
      <c r="E15" s="18" t="s">
        <v>144</v>
      </c>
    </row>
    <row r="16" spans="1:14" x14ac:dyDescent="0.3">
      <c r="A16" t="s">
        <v>91</v>
      </c>
      <c r="C16" s="14" t="s">
        <v>117</v>
      </c>
      <c r="E16" s="18" t="s">
        <v>144</v>
      </c>
    </row>
    <row r="17" spans="1:5" x14ac:dyDescent="0.3">
      <c r="A17" t="s">
        <v>92</v>
      </c>
      <c r="C17" s="14" t="s">
        <v>118</v>
      </c>
      <c r="E17" t="s">
        <v>147</v>
      </c>
    </row>
    <row r="18" spans="1:5" x14ac:dyDescent="0.3">
      <c r="A18" t="s">
        <v>93</v>
      </c>
      <c r="C18" s="16" t="s">
        <v>120</v>
      </c>
      <c r="E18" s="18" t="s">
        <v>144</v>
      </c>
    </row>
    <row r="19" spans="1:5" x14ac:dyDescent="0.3">
      <c r="A19" t="s">
        <v>94</v>
      </c>
      <c r="C19" s="16" t="s">
        <v>121</v>
      </c>
      <c r="E19" s="18" t="s">
        <v>144</v>
      </c>
    </row>
    <row r="20" spans="1:5" x14ac:dyDescent="0.3">
      <c r="A20" t="s">
        <v>95</v>
      </c>
      <c r="C20" s="16" t="s">
        <v>122</v>
      </c>
      <c r="E20" t="s">
        <v>147</v>
      </c>
    </row>
    <row r="21" spans="1:5" x14ac:dyDescent="0.3">
      <c r="A21" t="s">
        <v>96</v>
      </c>
      <c r="C21" s="16" t="s">
        <v>123</v>
      </c>
      <c r="E21" t="s">
        <v>147</v>
      </c>
    </row>
    <row r="22" spans="1:5" ht="28.8" x14ac:dyDescent="0.3">
      <c r="A22" t="s">
        <v>97</v>
      </c>
      <c r="C22" s="16" t="s">
        <v>124</v>
      </c>
      <c r="E22" t="s">
        <v>147</v>
      </c>
    </row>
    <row r="23" spans="1:5" x14ac:dyDescent="0.3">
      <c r="A23" t="s">
        <v>98</v>
      </c>
      <c r="C23" s="16" t="s">
        <v>125</v>
      </c>
      <c r="E23" s="18" t="s">
        <v>144</v>
      </c>
    </row>
    <row r="24" spans="1:5" ht="28.8" x14ac:dyDescent="0.3">
      <c r="A24" t="s">
        <v>99</v>
      </c>
      <c r="C24" s="16" t="s">
        <v>126</v>
      </c>
      <c r="E24" s="18" t="s">
        <v>144</v>
      </c>
    </row>
    <row r="25" spans="1:5" x14ac:dyDescent="0.3">
      <c r="A25" t="s">
        <v>100</v>
      </c>
      <c r="C25" s="17" t="s">
        <v>130</v>
      </c>
      <c r="E25" t="s">
        <v>147</v>
      </c>
    </row>
    <row r="26" spans="1:5" x14ac:dyDescent="0.3">
      <c r="A26" t="s">
        <v>101</v>
      </c>
      <c r="C26" s="17" t="s">
        <v>131</v>
      </c>
      <c r="E26" t="s">
        <v>147</v>
      </c>
    </row>
    <row r="27" spans="1:5" x14ac:dyDescent="0.3">
      <c r="A27" t="s">
        <v>102</v>
      </c>
      <c r="C27" s="17" t="s">
        <v>132</v>
      </c>
      <c r="E27" t="s">
        <v>147</v>
      </c>
    </row>
    <row r="28" spans="1:5" x14ac:dyDescent="0.3">
      <c r="A28" t="s">
        <v>103</v>
      </c>
      <c r="C28" s="17" t="s">
        <v>133</v>
      </c>
      <c r="E28" t="s">
        <v>147</v>
      </c>
    </row>
    <row r="29" spans="1:5" x14ac:dyDescent="0.3">
      <c r="A29" t="s">
        <v>104</v>
      </c>
      <c r="C29" s="14" t="s">
        <v>119</v>
      </c>
      <c r="E29" s="18" t="s">
        <v>144</v>
      </c>
    </row>
    <row r="32" spans="1:5" x14ac:dyDescent="0.3">
      <c r="E32" t="s">
        <v>148</v>
      </c>
    </row>
    <row r="43" spans="1:1" x14ac:dyDescent="0.3">
      <c r="A43" t="s">
        <v>127</v>
      </c>
    </row>
    <row r="44" spans="1:1" x14ac:dyDescent="0.3">
      <c r="A44" s="11" t="s">
        <v>105</v>
      </c>
    </row>
    <row r="45" spans="1:1" x14ac:dyDescent="0.3">
      <c r="A45" s="11" t="s">
        <v>106</v>
      </c>
    </row>
    <row r="46" spans="1:1" x14ac:dyDescent="0.3">
      <c r="A46" s="11" t="s">
        <v>107</v>
      </c>
    </row>
    <row r="47" spans="1:1" x14ac:dyDescent="0.3">
      <c r="A47" s="11" t="s">
        <v>108</v>
      </c>
    </row>
    <row r="48" spans="1:1" x14ac:dyDescent="0.3">
      <c r="A48" s="11" t="s">
        <v>109</v>
      </c>
    </row>
    <row r="49" spans="1:1" x14ac:dyDescent="0.3">
      <c r="A49" s="11" t="s">
        <v>110</v>
      </c>
    </row>
    <row r="50" spans="1:1" x14ac:dyDescent="0.3">
      <c r="A50" s="11" t="s">
        <v>111</v>
      </c>
    </row>
    <row r="51" spans="1:1" x14ac:dyDescent="0.3">
      <c r="A51" s="11" t="s">
        <v>112</v>
      </c>
    </row>
    <row r="52" spans="1:1" x14ac:dyDescent="0.3">
      <c r="A52" s="11" t="s">
        <v>113</v>
      </c>
    </row>
    <row r="53" spans="1:1" x14ac:dyDescent="0.3">
      <c r="A53" s="11" t="s">
        <v>114</v>
      </c>
    </row>
    <row r="54" spans="1:1" x14ac:dyDescent="0.3">
      <c r="A54" s="11" t="s">
        <v>115</v>
      </c>
    </row>
    <row r="55" spans="1:1" x14ac:dyDescent="0.3">
      <c r="A55" s="11" t="s">
        <v>116</v>
      </c>
    </row>
    <row r="56" spans="1:1" x14ac:dyDescent="0.3">
      <c r="A56" s="11" t="s">
        <v>117</v>
      </c>
    </row>
    <row r="57" spans="1:1" x14ac:dyDescent="0.3">
      <c r="A57" s="11" t="s">
        <v>118</v>
      </c>
    </row>
    <row r="58" spans="1:1" x14ac:dyDescent="0.3">
      <c r="A58" s="11" t="s">
        <v>119</v>
      </c>
    </row>
    <row r="60" spans="1:1" x14ac:dyDescent="0.3">
      <c r="A60" s="11" t="s">
        <v>128</v>
      </c>
    </row>
    <row r="61" spans="1:1" x14ac:dyDescent="0.3">
      <c r="A61" s="11" t="s">
        <v>120</v>
      </c>
    </row>
    <row r="62" spans="1:1" x14ac:dyDescent="0.3">
      <c r="A62" s="11" t="s">
        <v>121</v>
      </c>
    </row>
    <row r="63" spans="1:1" x14ac:dyDescent="0.3">
      <c r="A63" s="11" t="s">
        <v>122</v>
      </c>
    </row>
    <row r="64" spans="1:1" x14ac:dyDescent="0.3">
      <c r="A64" s="11" t="s">
        <v>123</v>
      </c>
    </row>
    <row r="65" spans="1:1" x14ac:dyDescent="0.3">
      <c r="A65" s="11" t="s">
        <v>124</v>
      </c>
    </row>
    <row r="66" spans="1:1" x14ac:dyDescent="0.3">
      <c r="A66" s="11" t="s">
        <v>125</v>
      </c>
    </row>
    <row r="67" spans="1:1" x14ac:dyDescent="0.3">
      <c r="A67" s="11" t="s">
        <v>126</v>
      </c>
    </row>
    <row r="70" spans="1:1" ht="18" x14ac:dyDescent="0.3">
      <c r="A70" s="12" t="s">
        <v>129</v>
      </c>
    </row>
    <row r="71" spans="1:1" x14ac:dyDescent="0.3">
      <c r="A71" s="13" t="s">
        <v>130</v>
      </c>
    </row>
    <row r="72" spans="1:1" x14ac:dyDescent="0.3">
      <c r="A72" s="13" t="s">
        <v>131</v>
      </c>
    </row>
    <row r="73" spans="1:1" x14ac:dyDescent="0.3">
      <c r="A73" s="13" t="s">
        <v>132</v>
      </c>
    </row>
    <row r="74" spans="1:1" x14ac:dyDescent="0.3">
      <c r="A74" s="13" t="s">
        <v>133</v>
      </c>
    </row>
    <row r="85" spans="8:29" ht="15" thickBot="1" x14ac:dyDescent="0.35"/>
    <row r="86" spans="8:29" ht="15" thickBot="1" x14ac:dyDescent="0.35">
      <c r="H86" s="77" t="s">
        <v>343</v>
      </c>
      <c r="I86" s="79" t="s">
        <v>343</v>
      </c>
      <c r="J86" s="80" t="s">
        <v>344</v>
      </c>
      <c r="K86" s="80" t="s">
        <v>26</v>
      </c>
      <c r="L86" s="80" t="s">
        <v>345</v>
      </c>
      <c r="M86" s="80" t="s">
        <v>28</v>
      </c>
      <c r="N86" s="80" t="s">
        <v>30</v>
      </c>
      <c r="O86" s="80" t="s">
        <v>31</v>
      </c>
      <c r="P86" s="80" t="s">
        <v>32</v>
      </c>
      <c r="Q86" s="80" t="s">
        <v>34</v>
      </c>
      <c r="R86" s="80" t="s">
        <v>35</v>
      </c>
      <c r="S86" s="80" t="s">
        <v>36</v>
      </c>
      <c r="T86" s="80" t="s">
        <v>346</v>
      </c>
      <c r="U86" s="80" t="s">
        <v>38</v>
      </c>
      <c r="V86" s="80" t="s">
        <v>40</v>
      </c>
      <c r="W86" s="80" t="s">
        <v>42</v>
      </c>
      <c r="X86" s="80" t="s">
        <v>44</v>
      </c>
      <c r="Y86" s="80" t="s">
        <v>46</v>
      </c>
      <c r="Z86" s="80" t="s">
        <v>49</v>
      </c>
      <c r="AA86" s="80" t="s">
        <v>51</v>
      </c>
      <c r="AB86" s="80" t="s">
        <v>53</v>
      </c>
      <c r="AC86" s="80" t="s">
        <v>55</v>
      </c>
    </row>
    <row r="87" spans="8:29" ht="15" thickBot="1" x14ac:dyDescent="0.35">
      <c r="H87" s="78" t="s">
        <v>87</v>
      </c>
      <c r="I87" s="81" t="s">
        <v>87</v>
      </c>
      <c r="J87" s="82" t="s">
        <v>186</v>
      </c>
      <c r="K87" s="82" t="s">
        <v>191</v>
      </c>
      <c r="L87" s="82" t="s">
        <v>196</v>
      </c>
      <c r="M87" s="82" t="s">
        <v>201</v>
      </c>
      <c r="N87" s="82" t="s">
        <v>210</v>
      </c>
      <c r="O87" s="82" t="s">
        <v>219</v>
      </c>
      <c r="P87" s="82">
        <v>1</v>
      </c>
      <c r="Q87" s="82" t="s">
        <v>226</v>
      </c>
      <c r="R87" s="82" t="s">
        <v>246</v>
      </c>
      <c r="S87" s="82" t="s">
        <v>232</v>
      </c>
      <c r="T87" s="82">
        <v>2</v>
      </c>
      <c r="U87" s="82">
        <v>2</v>
      </c>
      <c r="V87" s="82" t="s">
        <v>200</v>
      </c>
      <c r="W87" s="82">
        <v>3</v>
      </c>
      <c r="X87" s="82" t="s">
        <v>205</v>
      </c>
      <c r="Y87" s="82">
        <v>4</v>
      </c>
      <c r="Z87" s="82" t="s">
        <v>214</v>
      </c>
      <c r="AA87" s="82">
        <v>5</v>
      </c>
      <c r="AB87" s="82" t="s">
        <v>247</v>
      </c>
      <c r="AC87" s="82">
        <v>6</v>
      </c>
    </row>
    <row r="88" spans="8:29" ht="15" thickBot="1" x14ac:dyDescent="0.35">
      <c r="H88" s="78" t="s">
        <v>84</v>
      </c>
      <c r="I88" s="81" t="s">
        <v>84</v>
      </c>
      <c r="J88" s="82">
        <v>15</v>
      </c>
      <c r="K88" s="82">
        <v>16</v>
      </c>
      <c r="L88" s="82">
        <v>17</v>
      </c>
      <c r="M88" s="82">
        <v>18</v>
      </c>
      <c r="N88" s="82">
        <v>20</v>
      </c>
      <c r="O88" s="82">
        <v>22</v>
      </c>
      <c r="P88" s="82">
        <v>24</v>
      </c>
      <c r="Q88" s="82">
        <v>28</v>
      </c>
      <c r="R88" s="82">
        <v>32</v>
      </c>
      <c r="S88" s="82">
        <v>36</v>
      </c>
      <c r="T88" s="82">
        <v>40</v>
      </c>
      <c r="U88" s="82">
        <v>44</v>
      </c>
      <c r="V88" s="82">
        <v>52</v>
      </c>
      <c r="W88" s="82">
        <v>60</v>
      </c>
      <c r="X88" s="82">
        <v>72</v>
      </c>
      <c r="Y88" s="82">
        <v>84</v>
      </c>
      <c r="Z88" s="82">
        <v>96</v>
      </c>
      <c r="AA88" s="82">
        <v>108</v>
      </c>
      <c r="AB88" s="82">
        <v>124</v>
      </c>
      <c r="AC88" s="82">
        <v>140</v>
      </c>
    </row>
    <row r="89" spans="8:29" ht="15" thickBot="1" x14ac:dyDescent="0.35">
      <c r="H89" s="74" t="s">
        <v>81</v>
      </c>
      <c r="I89" s="82" t="s">
        <v>542</v>
      </c>
      <c r="J89" s="82" t="s">
        <v>347</v>
      </c>
      <c r="K89" s="82" t="s">
        <v>348</v>
      </c>
      <c r="L89" s="82" t="s">
        <v>349</v>
      </c>
      <c r="M89" s="82">
        <v>5.5</v>
      </c>
      <c r="N89" s="82" t="s">
        <v>350</v>
      </c>
      <c r="O89" s="82" t="s">
        <v>351</v>
      </c>
      <c r="P89" s="82">
        <v>10</v>
      </c>
      <c r="Q89" s="82" t="s">
        <v>352</v>
      </c>
      <c r="R89" s="82" t="s">
        <v>353</v>
      </c>
      <c r="S89" s="82" t="s">
        <v>354</v>
      </c>
      <c r="T89" s="82" t="s">
        <v>355</v>
      </c>
      <c r="U89" s="82" t="s">
        <v>356</v>
      </c>
      <c r="V89" s="82" t="s">
        <v>357</v>
      </c>
      <c r="W89" s="82" t="s">
        <v>358</v>
      </c>
      <c r="X89" s="82" t="s">
        <v>359</v>
      </c>
      <c r="Y89" s="82" t="s">
        <v>360</v>
      </c>
      <c r="Z89" s="82" t="s">
        <v>361</v>
      </c>
      <c r="AA89" s="82" t="s">
        <v>362</v>
      </c>
      <c r="AB89" s="82" t="s">
        <v>363</v>
      </c>
      <c r="AC89" s="82" t="s">
        <v>364</v>
      </c>
    </row>
    <row r="90" spans="8:29" ht="36.6" thickBot="1" x14ac:dyDescent="0.35">
      <c r="H90" s="75"/>
      <c r="I90" s="82" t="s">
        <v>543</v>
      </c>
      <c r="J90" s="82" t="s">
        <v>365</v>
      </c>
      <c r="K90" s="82" t="s">
        <v>366</v>
      </c>
      <c r="L90" s="82" t="s">
        <v>367</v>
      </c>
      <c r="M90" s="82">
        <v>5.68</v>
      </c>
      <c r="N90" s="82" t="s">
        <v>368</v>
      </c>
      <c r="O90" s="82" t="s">
        <v>369</v>
      </c>
      <c r="P90" s="82" t="s">
        <v>370</v>
      </c>
      <c r="Q90" s="82" t="s">
        <v>371</v>
      </c>
      <c r="R90" s="82" t="s">
        <v>372</v>
      </c>
      <c r="S90" s="82" t="s">
        <v>373</v>
      </c>
      <c r="T90" s="82" t="s">
        <v>374</v>
      </c>
      <c r="U90" s="82" t="s">
        <v>375</v>
      </c>
      <c r="V90" s="82" t="s">
        <v>376</v>
      </c>
      <c r="W90" s="82" t="s">
        <v>377</v>
      </c>
      <c r="X90" s="82" t="s">
        <v>378</v>
      </c>
      <c r="Y90" s="82" t="s">
        <v>379</v>
      </c>
      <c r="Z90" s="82" t="s">
        <v>380</v>
      </c>
      <c r="AA90" s="82" t="s">
        <v>381</v>
      </c>
      <c r="AB90" s="82" t="s">
        <v>382</v>
      </c>
      <c r="AC90" s="82" t="s">
        <v>383</v>
      </c>
    </row>
    <row r="91" spans="8:29" ht="15" thickBot="1" x14ac:dyDescent="0.35">
      <c r="H91" s="76"/>
      <c r="I91" s="82" t="s">
        <v>384</v>
      </c>
      <c r="J91" s="82" t="s">
        <v>385</v>
      </c>
      <c r="K91" s="82" t="s">
        <v>386</v>
      </c>
      <c r="L91" s="82" t="s">
        <v>387</v>
      </c>
      <c r="M91" s="82" t="s">
        <v>388</v>
      </c>
      <c r="N91" s="82" t="s">
        <v>389</v>
      </c>
      <c r="O91" s="82" t="s">
        <v>390</v>
      </c>
      <c r="P91" s="82" t="s">
        <v>391</v>
      </c>
      <c r="Q91" s="82" t="s">
        <v>392</v>
      </c>
      <c r="R91" s="82" t="s">
        <v>393</v>
      </c>
      <c r="S91" s="82" t="s">
        <v>394</v>
      </c>
      <c r="T91" s="82" t="s">
        <v>395</v>
      </c>
      <c r="U91" s="82" t="s">
        <v>396</v>
      </c>
      <c r="V91" s="82" t="s">
        <v>397</v>
      </c>
      <c r="W91" s="82" t="s">
        <v>398</v>
      </c>
      <c r="X91" s="82" t="s">
        <v>399</v>
      </c>
      <c r="Y91" s="82" t="s">
        <v>400</v>
      </c>
      <c r="Z91" s="82" t="s">
        <v>401</v>
      </c>
      <c r="AA91" s="82" t="s">
        <v>402</v>
      </c>
      <c r="AB91" s="82" t="s">
        <v>403</v>
      </c>
      <c r="AC91" s="82" t="s">
        <v>404</v>
      </c>
    </row>
    <row r="92" spans="8:29" ht="15" thickBot="1" x14ac:dyDescent="0.35">
      <c r="H92" s="73" t="s">
        <v>405</v>
      </c>
      <c r="I92" s="82" t="s">
        <v>544</v>
      </c>
      <c r="J92" s="82">
        <v>2</v>
      </c>
      <c r="K92" s="82" t="s">
        <v>406</v>
      </c>
      <c r="L92" s="82" t="s">
        <v>407</v>
      </c>
      <c r="M92" s="82" t="s">
        <v>408</v>
      </c>
      <c r="N92" s="82" t="s">
        <v>409</v>
      </c>
      <c r="O92" s="82" t="s">
        <v>410</v>
      </c>
      <c r="P92" s="82" t="s">
        <v>411</v>
      </c>
      <c r="Q92" s="82" t="s">
        <v>412</v>
      </c>
      <c r="R92" s="82" t="s">
        <v>413</v>
      </c>
      <c r="S92" s="82" t="s">
        <v>414</v>
      </c>
      <c r="T92" s="82" t="s">
        <v>415</v>
      </c>
      <c r="U92" s="82" t="s">
        <v>416</v>
      </c>
      <c r="V92" s="82" t="s">
        <v>417</v>
      </c>
      <c r="W92" s="82" t="s">
        <v>418</v>
      </c>
      <c r="X92" s="82" t="s">
        <v>419</v>
      </c>
      <c r="Y92" s="82" t="s">
        <v>420</v>
      </c>
      <c r="Z92" s="82" t="s">
        <v>421</v>
      </c>
      <c r="AA92" s="82" t="s">
        <v>422</v>
      </c>
      <c r="AB92" s="82">
        <v>63</v>
      </c>
      <c r="AC92" s="82">
        <v>71</v>
      </c>
    </row>
    <row r="93" spans="8:29" ht="15" thickBot="1" x14ac:dyDescent="0.35">
      <c r="H93" s="74" t="s">
        <v>13</v>
      </c>
      <c r="I93" s="82" t="s">
        <v>545</v>
      </c>
      <c r="J93" s="82" t="s">
        <v>423</v>
      </c>
      <c r="K93" s="82" t="s">
        <v>424</v>
      </c>
      <c r="L93" s="82" t="s">
        <v>425</v>
      </c>
      <c r="M93" s="82" t="s">
        <v>347</v>
      </c>
      <c r="N93" s="82" t="s">
        <v>426</v>
      </c>
      <c r="O93" s="82" t="s">
        <v>427</v>
      </c>
      <c r="P93" s="82" t="s">
        <v>428</v>
      </c>
      <c r="Q93" s="82" t="s">
        <v>429</v>
      </c>
      <c r="R93" s="82" t="s">
        <v>430</v>
      </c>
      <c r="S93" s="82" t="s">
        <v>431</v>
      </c>
      <c r="T93" s="82" t="s">
        <v>432</v>
      </c>
      <c r="U93" s="82">
        <v>16</v>
      </c>
      <c r="V93" s="82" t="s">
        <v>433</v>
      </c>
      <c r="W93" s="82" t="s">
        <v>356</v>
      </c>
      <c r="X93" s="82" t="s">
        <v>357</v>
      </c>
      <c r="Y93" s="82" t="s">
        <v>358</v>
      </c>
      <c r="Z93" s="82" t="s">
        <v>434</v>
      </c>
      <c r="AA93" s="82" t="s">
        <v>435</v>
      </c>
      <c r="AB93" s="82" t="s">
        <v>436</v>
      </c>
      <c r="AC93" s="82" t="s">
        <v>437</v>
      </c>
    </row>
    <row r="94" spans="8:29" ht="15" thickBot="1" x14ac:dyDescent="0.35">
      <c r="H94" s="76"/>
      <c r="I94" s="82" t="s">
        <v>546</v>
      </c>
      <c r="J94" s="82" t="s">
        <v>438</v>
      </c>
      <c r="K94" s="82" t="s">
        <v>439</v>
      </c>
      <c r="L94" s="82" t="s">
        <v>440</v>
      </c>
      <c r="M94" s="82" t="s">
        <v>385</v>
      </c>
      <c r="N94" s="82" t="s">
        <v>441</v>
      </c>
      <c r="O94" s="82" t="s">
        <v>442</v>
      </c>
      <c r="P94" s="82" t="s">
        <v>443</v>
      </c>
      <c r="Q94" s="82" t="s">
        <v>444</v>
      </c>
      <c r="R94" s="82" t="s">
        <v>391</v>
      </c>
      <c r="S94" s="82" t="s">
        <v>445</v>
      </c>
      <c r="T94" s="82" t="s">
        <v>446</v>
      </c>
      <c r="U94" s="82" t="s">
        <v>393</v>
      </c>
      <c r="V94" s="82" t="s">
        <v>447</v>
      </c>
      <c r="W94" s="82" t="s">
        <v>396</v>
      </c>
      <c r="X94" s="82" t="s">
        <v>397</v>
      </c>
      <c r="Y94" s="82" t="s">
        <v>398</v>
      </c>
      <c r="Z94" s="82" t="s">
        <v>448</v>
      </c>
      <c r="AA94" s="82" t="s">
        <v>449</v>
      </c>
      <c r="AB94" s="82" t="s">
        <v>450</v>
      </c>
      <c r="AC94" s="82" t="s">
        <v>451</v>
      </c>
    </row>
    <row r="95" spans="8:29" ht="15" thickBot="1" x14ac:dyDescent="0.35">
      <c r="H95" s="73" t="s">
        <v>452</v>
      </c>
      <c r="I95" s="82" t="s">
        <v>547</v>
      </c>
      <c r="J95" s="83">
        <v>1733</v>
      </c>
      <c r="K95" s="83">
        <v>1733</v>
      </c>
      <c r="L95" s="83">
        <v>2303</v>
      </c>
      <c r="M95" s="83">
        <v>2873</v>
      </c>
      <c r="N95" s="83">
        <v>3443</v>
      </c>
      <c r="O95" s="83">
        <v>4583</v>
      </c>
      <c r="P95" s="83">
        <v>5723</v>
      </c>
      <c r="Q95" s="83">
        <v>6863</v>
      </c>
      <c r="R95" s="83">
        <v>9149</v>
      </c>
      <c r="S95" s="83">
        <v>11429</v>
      </c>
      <c r="T95" s="83">
        <v>13716</v>
      </c>
      <c r="U95" s="83">
        <v>15996</v>
      </c>
      <c r="V95" s="83">
        <v>19437</v>
      </c>
      <c r="W95" s="83">
        <v>21734</v>
      </c>
      <c r="X95" s="83">
        <v>25154</v>
      </c>
      <c r="Y95" s="83">
        <v>30854</v>
      </c>
      <c r="Z95" s="83">
        <v>36571</v>
      </c>
      <c r="AA95" s="83">
        <v>41131</v>
      </c>
      <c r="AB95" s="83">
        <v>46831</v>
      </c>
      <c r="AC95" s="83">
        <v>52531</v>
      </c>
    </row>
    <row r="96" spans="8:29" ht="15" thickBot="1" x14ac:dyDescent="0.35">
      <c r="H96" s="73" t="s">
        <v>255</v>
      </c>
      <c r="I96" s="82" t="s">
        <v>548</v>
      </c>
      <c r="J96" s="82" t="s">
        <v>453</v>
      </c>
      <c r="K96" s="82" t="s">
        <v>454</v>
      </c>
      <c r="L96" s="82" t="s">
        <v>454</v>
      </c>
      <c r="M96" s="82" t="s">
        <v>454</v>
      </c>
      <c r="N96" s="82" t="s">
        <v>206</v>
      </c>
      <c r="O96" s="82" t="s">
        <v>206</v>
      </c>
      <c r="P96" s="82" t="s">
        <v>455</v>
      </c>
      <c r="Q96" s="82" t="s">
        <v>456</v>
      </c>
      <c r="R96" s="82" t="s">
        <v>456</v>
      </c>
      <c r="S96" s="82" t="s">
        <v>457</v>
      </c>
      <c r="T96" s="82" t="s">
        <v>457</v>
      </c>
      <c r="U96" s="82" t="s">
        <v>457</v>
      </c>
      <c r="V96" s="82" t="s">
        <v>458</v>
      </c>
      <c r="W96" s="82" t="s">
        <v>458</v>
      </c>
      <c r="X96" s="82" t="s">
        <v>459</v>
      </c>
      <c r="Y96" s="82" t="s">
        <v>459</v>
      </c>
      <c r="Z96" s="82" t="s">
        <v>460</v>
      </c>
      <c r="AA96" s="82" t="s">
        <v>461</v>
      </c>
      <c r="AB96" s="82" t="s">
        <v>462</v>
      </c>
      <c r="AC96" s="82" t="s">
        <v>462</v>
      </c>
    </row>
    <row r="97" spans="8:29" ht="15" thickBot="1" x14ac:dyDescent="0.35">
      <c r="H97" s="74" t="s">
        <v>85</v>
      </c>
      <c r="I97" s="82" t="s">
        <v>549</v>
      </c>
      <c r="J97" s="82" t="s">
        <v>423</v>
      </c>
      <c r="K97" s="82" t="s">
        <v>424</v>
      </c>
      <c r="L97" s="82" t="s">
        <v>425</v>
      </c>
      <c r="M97" s="82" t="s">
        <v>347</v>
      </c>
      <c r="N97" s="82" t="s">
        <v>426</v>
      </c>
      <c r="O97" s="82" t="s">
        <v>427</v>
      </c>
      <c r="P97" s="82" t="s">
        <v>463</v>
      </c>
      <c r="Q97" s="82" t="s">
        <v>429</v>
      </c>
      <c r="R97" s="82" t="s">
        <v>430</v>
      </c>
      <c r="S97" s="82" t="s">
        <v>431</v>
      </c>
      <c r="T97" s="82" t="s">
        <v>432</v>
      </c>
      <c r="U97" s="82" t="s">
        <v>353</v>
      </c>
      <c r="V97" s="82" t="s">
        <v>433</v>
      </c>
      <c r="W97" s="82" t="s">
        <v>356</v>
      </c>
      <c r="X97" s="82" t="s">
        <v>357</v>
      </c>
      <c r="Y97" s="82" t="s">
        <v>358</v>
      </c>
      <c r="Z97" s="82" t="s">
        <v>434</v>
      </c>
      <c r="AA97" s="82" t="s">
        <v>435</v>
      </c>
      <c r="AB97" s="82" t="s">
        <v>436</v>
      </c>
      <c r="AC97" s="82" t="s">
        <v>437</v>
      </c>
    </row>
    <row r="98" spans="8:29" ht="15" thickBot="1" x14ac:dyDescent="0.35">
      <c r="H98" s="76"/>
      <c r="I98" s="82" t="s">
        <v>550</v>
      </c>
      <c r="J98" s="82" t="s">
        <v>438</v>
      </c>
      <c r="K98" s="82" t="s">
        <v>439</v>
      </c>
      <c r="L98" s="82" t="s">
        <v>440</v>
      </c>
      <c r="M98" s="82" t="s">
        <v>385</v>
      </c>
      <c r="N98" s="82" t="s">
        <v>441</v>
      </c>
      <c r="O98" s="82" t="s">
        <v>442</v>
      </c>
      <c r="P98" s="82" t="s">
        <v>410</v>
      </c>
      <c r="Q98" s="82" t="s">
        <v>464</v>
      </c>
      <c r="R98" s="82" t="s">
        <v>465</v>
      </c>
      <c r="S98" s="82" t="s">
        <v>466</v>
      </c>
      <c r="T98" s="82" t="s">
        <v>467</v>
      </c>
      <c r="U98" s="82" t="s">
        <v>468</v>
      </c>
      <c r="V98" s="82" t="s">
        <v>469</v>
      </c>
      <c r="W98" s="82" t="s">
        <v>470</v>
      </c>
      <c r="X98" s="82" t="s">
        <v>471</v>
      </c>
      <c r="Y98" s="82" t="s">
        <v>472</v>
      </c>
      <c r="Z98" s="82" t="s">
        <v>473</v>
      </c>
      <c r="AA98" s="82" t="s">
        <v>474</v>
      </c>
      <c r="AB98" s="82" t="s">
        <v>475</v>
      </c>
      <c r="AC98" s="82" t="s">
        <v>476</v>
      </c>
    </row>
    <row r="99" spans="8:29" ht="15" thickBot="1" x14ac:dyDescent="0.35">
      <c r="H99" s="73" t="s">
        <v>6</v>
      </c>
      <c r="I99" s="82" t="s">
        <v>551</v>
      </c>
      <c r="J99" s="82" t="s">
        <v>477</v>
      </c>
      <c r="K99" s="82" t="s">
        <v>477</v>
      </c>
      <c r="L99" s="82" t="s">
        <v>477</v>
      </c>
      <c r="M99" s="82" t="s">
        <v>477</v>
      </c>
      <c r="N99" s="82" t="s">
        <v>478</v>
      </c>
      <c r="O99" s="82" t="s">
        <v>478</v>
      </c>
      <c r="P99" s="82" t="s">
        <v>165</v>
      </c>
      <c r="Q99" s="82" t="s">
        <v>191</v>
      </c>
      <c r="R99" s="82" t="s">
        <v>191</v>
      </c>
      <c r="S99" s="82" t="s">
        <v>206</v>
      </c>
      <c r="T99" s="82" t="s">
        <v>206</v>
      </c>
      <c r="U99" s="82" t="s">
        <v>206</v>
      </c>
      <c r="V99" s="82" t="s">
        <v>219</v>
      </c>
      <c r="W99" s="82" t="s">
        <v>219</v>
      </c>
      <c r="X99" s="82">
        <v>1</v>
      </c>
      <c r="Y99" s="82">
        <v>1</v>
      </c>
      <c r="Z99" s="82" t="s">
        <v>176</v>
      </c>
      <c r="AA99" s="82" t="s">
        <v>185</v>
      </c>
      <c r="AB99" s="82">
        <v>2</v>
      </c>
      <c r="AC99" s="82">
        <v>2</v>
      </c>
    </row>
    <row r="100" spans="8:29" ht="15" thickBot="1" x14ac:dyDescent="0.35">
      <c r="H100" s="74" t="s">
        <v>141</v>
      </c>
      <c r="I100" s="82" t="s">
        <v>552</v>
      </c>
      <c r="J100" s="82" t="s">
        <v>246</v>
      </c>
      <c r="K100" s="82" t="s">
        <v>246</v>
      </c>
      <c r="L100" s="82">
        <v>2</v>
      </c>
      <c r="M100" s="82" t="s">
        <v>200</v>
      </c>
      <c r="N100" s="82">
        <v>3</v>
      </c>
      <c r="O100" s="82">
        <v>4</v>
      </c>
      <c r="P100" s="82">
        <v>5</v>
      </c>
      <c r="Q100" s="82">
        <v>6</v>
      </c>
      <c r="R100" s="82">
        <v>8</v>
      </c>
      <c r="S100" s="82">
        <v>10</v>
      </c>
      <c r="T100" s="82">
        <v>12</v>
      </c>
      <c r="U100" s="82">
        <v>14</v>
      </c>
      <c r="V100" s="82">
        <v>17</v>
      </c>
      <c r="W100" s="82">
        <v>19</v>
      </c>
      <c r="X100" s="82">
        <v>22</v>
      </c>
      <c r="Y100" s="82">
        <v>27</v>
      </c>
      <c r="Z100" s="82">
        <v>32</v>
      </c>
      <c r="AA100" s="82">
        <v>36</v>
      </c>
      <c r="AB100" s="82">
        <v>41</v>
      </c>
      <c r="AC100" s="82">
        <v>46</v>
      </c>
    </row>
    <row r="101" spans="8:29" ht="15" thickBot="1" x14ac:dyDescent="0.35">
      <c r="H101" s="75"/>
      <c r="I101" s="82" t="s">
        <v>553</v>
      </c>
      <c r="J101" s="82" t="s">
        <v>479</v>
      </c>
      <c r="K101" s="82" t="s">
        <v>479</v>
      </c>
      <c r="L101" s="82" t="s">
        <v>480</v>
      </c>
      <c r="M101" s="82" t="s">
        <v>481</v>
      </c>
      <c r="N101" s="82" t="s">
        <v>482</v>
      </c>
      <c r="O101" s="83">
        <v>4095</v>
      </c>
      <c r="P101" s="82" t="s">
        <v>483</v>
      </c>
      <c r="Q101" s="82" t="s">
        <v>484</v>
      </c>
      <c r="R101" s="83">
        <v>8175</v>
      </c>
      <c r="S101" s="83">
        <v>10175</v>
      </c>
      <c r="T101" s="83">
        <v>12212</v>
      </c>
      <c r="U101" s="83">
        <v>14212</v>
      </c>
      <c r="V101" s="82" t="s">
        <v>485</v>
      </c>
      <c r="W101" s="83">
        <v>19275</v>
      </c>
      <c r="X101" s="83">
        <v>22275</v>
      </c>
      <c r="Y101" s="83">
        <v>27275</v>
      </c>
      <c r="Z101" s="82" t="s">
        <v>486</v>
      </c>
      <c r="AA101" s="82" t="s">
        <v>487</v>
      </c>
      <c r="AB101" s="82" t="s">
        <v>488</v>
      </c>
      <c r="AC101" s="82" t="s">
        <v>489</v>
      </c>
    </row>
    <row r="102" spans="8:29" ht="15" thickBot="1" x14ac:dyDescent="0.35">
      <c r="H102" s="76"/>
      <c r="I102" s="82" t="s">
        <v>554</v>
      </c>
      <c r="J102" s="82" t="s">
        <v>490</v>
      </c>
      <c r="K102" s="82" t="s">
        <v>490</v>
      </c>
      <c r="L102" s="82" t="s">
        <v>491</v>
      </c>
      <c r="M102" s="82" t="s">
        <v>492</v>
      </c>
      <c r="N102" s="82" t="s">
        <v>493</v>
      </c>
      <c r="O102" s="83">
        <v>4020</v>
      </c>
      <c r="P102" s="82">
        <v>5.0199999999999996</v>
      </c>
      <c r="Q102" s="82" t="s">
        <v>494</v>
      </c>
      <c r="R102" s="83">
        <v>8025</v>
      </c>
      <c r="S102" s="83">
        <v>10025</v>
      </c>
      <c r="T102" s="83">
        <v>12032</v>
      </c>
      <c r="U102" s="83">
        <v>14032</v>
      </c>
      <c r="V102" s="82" t="s">
        <v>495</v>
      </c>
      <c r="W102" s="83">
        <v>19065</v>
      </c>
      <c r="X102" s="83">
        <v>22065</v>
      </c>
      <c r="Y102" s="83">
        <v>27065</v>
      </c>
      <c r="Z102" s="82" t="s">
        <v>496</v>
      </c>
      <c r="AA102" s="82" t="s">
        <v>497</v>
      </c>
      <c r="AB102" s="82" t="s">
        <v>498</v>
      </c>
      <c r="AC102" s="82" t="s">
        <v>499</v>
      </c>
    </row>
    <row r="103" spans="8:29" ht="15" thickBot="1" x14ac:dyDescent="0.35">
      <c r="H103" s="73" t="s">
        <v>137</v>
      </c>
      <c r="I103" s="82" t="s">
        <v>555</v>
      </c>
      <c r="J103" s="82" t="s">
        <v>210</v>
      </c>
      <c r="K103" s="82">
        <v>1</v>
      </c>
      <c r="L103" s="82" t="s">
        <v>172</v>
      </c>
      <c r="M103" s="82" t="s">
        <v>500</v>
      </c>
      <c r="N103" s="82">
        <v>2</v>
      </c>
      <c r="O103" s="82" t="s">
        <v>200</v>
      </c>
      <c r="P103" s="82">
        <v>3</v>
      </c>
      <c r="Q103" s="82">
        <v>4</v>
      </c>
      <c r="R103" s="82">
        <v>5</v>
      </c>
      <c r="S103" s="82">
        <v>6</v>
      </c>
      <c r="T103" s="82">
        <v>7</v>
      </c>
      <c r="U103" s="82">
        <v>8</v>
      </c>
      <c r="V103" s="82">
        <v>10</v>
      </c>
      <c r="W103" s="82">
        <v>12</v>
      </c>
      <c r="X103" s="82" t="s">
        <v>501</v>
      </c>
      <c r="Y103" s="82">
        <v>19</v>
      </c>
      <c r="Z103" s="82">
        <v>24</v>
      </c>
      <c r="AA103" s="82">
        <v>28</v>
      </c>
      <c r="AB103" s="82">
        <v>34</v>
      </c>
      <c r="AC103" s="82">
        <v>38</v>
      </c>
    </row>
    <row r="104" spans="8:29" ht="15" thickBot="1" x14ac:dyDescent="0.35">
      <c r="H104" s="73" t="s">
        <v>502</v>
      </c>
      <c r="I104" s="82" t="s">
        <v>556</v>
      </c>
      <c r="J104" s="82" t="s">
        <v>503</v>
      </c>
      <c r="K104" s="82" t="s">
        <v>478</v>
      </c>
      <c r="L104" s="82" t="s">
        <v>165</v>
      </c>
      <c r="M104" s="82" t="s">
        <v>180</v>
      </c>
      <c r="N104" s="82" t="s">
        <v>191</v>
      </c>
      <c r="O104" s="82" t="s">
        <v>201</v>
      </c>
      <c r="P104" s="82" t="s">
        <v>206</v>
      </c>
      <c r="Q104" s="82">
        <v>0.8</v>
      </c>
      <c r="R104" s="82">
        <v>1</v>
      </c>
      <c r="S104" s="82" t="s">
        <v>176</v>
      </c>
      <c r="T104" s="82" t="s">
        <v>179</v>
      </c>
      <c r="U104" s="82" t="s">
        <v>185</v>
      </c>
      <c r="V104" s="82">
        <v>2</v>
      </c>
      <c r="W104" s="82" t="s">
        <v>504</v>
      </c>
      <c r="X104" s="82">
        <v>3</v>
      </c>
      <c r="Y104" s="82" t="s">
        <v>408</v>
      </c>
      <c r="Z104" s="82" t="s">
        <v>505</v>
      </c>
      <c r="AA104" s="82" t="s">
        <v>506</v>
      </c>
      <c r="AB104" s="82" t="s">
        <v>507</v>
      </c>
      <c r="AC104" s="82" t="s">
        <v>508</v>
      </c>
    </row>
    <row r="105" spans="8:29" ht="15" thickBot="1" x14ac:dyDescent="0.35">
      <c r="H105" s="73" t="s">
        <v>509</v>
      </c>
      <c r="I105" s="82" t="s">
        <v>557</v>
      </c>
      <c r="J105" s="82" t="s">
        <v>510</v>
      </c>
      <c r="K105" s="82" t="s">
        <v>511</v>
      </c>
      <c r="L105" s="82" t="s">
        <v>512</v>
      </c>
      <c r="M105" s="82" t="s">
        <v>513</v>
      </c>
      <c r="N105" s="82" t="s">
        <v>514</v>
      </c>
      <c r="O105" s="82" t="s">
        <v>515</v>
      </c>
      <c r="P105" s="82" t="s">
        <v>516</v>
      </c>
      <c r="Q105" s="82" t="s">
        <v>517</v>
      </c>
      <c r="R105" s="82" t="s">
        <v>518</v>
      </c>
      <c r="S105" s="82" t="s">
        <v>485</v>
      </c>
      <c r="T105" s="82" t="s">
        <v>519</v>
      </c>
      <c r="U105" s="82" t="s">
        <v>520</v>
      </c>
      <c r="V105" s="82" t="s">
        <v>521</v>
      </c>
      <c r="W105" s="82" t="s">
        <v>522</v>
      </c>
      <c r="X105" s="82" t="s">
        <v>523</v>
      </c>
      <c r="Y105" s="82" t="s">
        <v>524</v>
      </c>
      <c r="Z105" s="82" t="s">
        <v>525</v>
      </c>
      <c r="AA105" s="82" t="s">
        <v>526</v>
      </c>
      <c r="AB105" s="82" t="s">
        <v>527</v>
      </c>
      <c r="AC105" s="82" t="s">
        <v>528</v>
      </c>
    </row>
    <row r="106" spans="8:29" ht="15" thickBot="1" x14ac:dyDescent="0.35">
      <c r="H106" s="73" t="s">
        <v>98</v>
      </c>
      <c r="I106" s="82" t="s">
        <v>558</v>
      </c>
      <c r="J106" s="82" t="s">
        <v>529</v>
      </c>
      <c r="K106" s="82" t="s">
        <v>529</v>
      </c>
      <c r="L106" s="82" t="s">
        <v>530</v>
      </c>
      <c r="M106" s="82" t="s">
        <v>531</v>
      </c>
      <c r="N106" s="82" t="s">
        <v>179</v>
      </c>
      <c r="O106" s="82" t="s">
        <v>532</v>
      </c>
      <c r="P106" s="82" t="s">
        <v>533</v>
      </c>
      <c r="Q106" s="82" t="s">
        <v>534</v>
      </c>
      <c r="R106" s="82">
        <v>4</v>
      </c>
      <c r="S106" s="82" t="s">
        <v>506</v>
      </c>
      <c r="T106" s="82" t="s">
        <v>535</v>
      </c>
      <c r="U106" s="82" t="s">
        <v>411</v>
      </c>
      <c r="V106" s="82" t="s">
        <v>536</v>
      </c>
      <c r="W106" s="82" t="s">
        <v>537</v>
      </c>
      <c r="X106" s="82" t="s">
        <v>538</v>
      </c>
      <c r="Y106" s="82" t="s">
        <v>539</v>
      </c>
      <c r="Z106" s="82" t="s">
        <v>540</v>
      </c>
      <c r="AA106" s="82" t="s">
        <v>541</v>
      </c>
      <c r="AB106" s="82">
        <v>19</v>
      </c>
      <c r="AC106" s="82">
        <v>22</v>
      </c>
    </row>
    <row r="107" spans="8:29" ht="15" thickBot="1" x14ac:dyDescent="0.35">
      <c r="H107" s="109" t="s">
        <v>773</v>
      </c>
      <c r="I107" s="109" t="s">
        <v>773</v>
      </c>
      <c r="J107" s="85">
        <v>0.55000000000000004</v>
      </c>
      <c r="K107" s="85">
        <v>0.55000000000000004</v>
      </c>
      <c r="L107" s="85">
        <v>0.85</v>
      </c>
      <c r="M107" s="85">
        <v>1.1499999999999999</v>
      </c>
      <c r="N107" s="85">
        <v>1.4</v>
      </c>
      <c r="O107" s="85">
        <v>1.9</v>
      </c>
      <c r="P107" s="85">
        <v>2.2999999999999998</v>
      </c>
      <c r="Q107" s="85">
        <v>3.3</v>
      </c>
      <c r="R107" s="85">
        <v>4</v>
      </c>
      <c r="S107" s="85">
        <v>4.8</v>
      </c>
      <c r="T107" s="85">
        <v>5.8</v>
      </c>
      <c r="U107" s="85">
        <v>6.8</v>
      </c>
      <c r="V107" s="85">
        <v>8.6</v>
      </c>
      <c r="W107" s="85">
        <v>10.4</v>
      </c>
      <c r="X107" s="85">
        <v>13.1</v>
      </c>
      <c r="Y107" s="85">
        <v>15.3</v>
      </c>
      <c r="Z107" s="85">
        <v>16.3</v>
      </c>
      <c r="AA107" s="85">
        <v>17.5</v>
      </c>
      <c r="AB107" s="85">
        <v>19</v>
      </c>
      <c r="AC107" s="85">
        <v>22</v>
      </c>
    </row>
    <row r="108" spans="8:29" ht="15" thickBot="1" x14ac:dyDescent="0.35">
      <c r="H108" s="85">
        <v>0.55000000000000004</v>
      </c>
    </row>
    <row r="109" spans="8:29" ht="15" thickBot="1" x14ac:dyDescent="0.35">
      <c r="H109" s="85">
        <v>0.55000000000000004</v>
      </c>
    </row>
    <row r="110" spans="8:29" ht="15" thickBot="1" x14ac:dyDescent="0.35">
      <c r="H110" s="85">
        <v>0.85</v>
      </c>
    </row>
    <row r="111" spans="8:29" ht="15" thickBot="1" x14ac:dyDescent="0.35">
      <c r="H111" s="85">
        <v>1.1499999999999999</v>
      </c>
    </row>
    <row r="112" spans="8:29" ht="15" thickBot="1" x14ac:dyDescent="0.35">
      <c r="H112" s="85">
        <v>1.4</v>
      </c>
    </row>
    <row r="113" spans="8:8" ht="15" thickBot="1" x14ac:dyDescent="0.35">
      <c r="H113" s="85">
        <v>1.9</v>
      </c>
    </row>
    <row r="114" spans="8:8" ht="15" thickBot="1" x14ac:dyDescent="0.35">
      <c r="H114" s="85">
        <v>2.2999999999999998</v>
      </c>
    </row>
    <row r="115" spans="8:8" ht="15" thickBot="1" x14ac:dyDescent="0.35">
      <c r="H115" s="85">
        <v>3.3</v>
      </c>
    </row>
    <row r="116" spans="8:8" ht="15" thickBot="1" x14ac:dyDescent="0.35">
      <c r="H116" s="85">
        <v>4</v>
      </c>
    </row>
    <row r="117" spans="8:8" ht="15" thickBot="1" x14ac:dyDescent="0.35">
      <c r="H117" s="85">
        <v>4.8</v>
      </c>
    </row>
    <row r="118" spans="8:8" ht="15" thickBot="1" x14ac:dyDescent="0.35">
      <c r="H118" s="85">
        <v>5.8</v>
      </c>
    </row>
    <row r="119" spans="8:8" ht="15" thickBot="1" x14ac:dyDescent="0.35">
      <c r="H119" s="85">
        <v>6.8</v>
      </c>
    </row>
    <row r="120" spans="8:8" ht="15" thickBot="1" x14ac:dyDescent="0.35">
      <c r="H120" s="85">
        <v>8.6</v>
      </c>
    </row>
    <row r="121" spans="8:8" ht="15" thickBot="1" x14ac:dyDescent="0.35">
      <c r="H121" s="85">
        <v>10.4</v>
      </c>
    </row>
    <row r="122" spans="8:8" ht="15" thickBot="1" x14ac:dyDescent="0.35">
      <c r="H122" s="85">
        <v>13.1</v>
      </c>
    </row>
    <row r="123" spans="8:8" ht="15" thickBot="1" x14ac:dyDescent="0.35">
      <c r="H123" s="85">
        <v>15.3</v>
      </c>
    </row>
    <row r="124" spans="8:8" ht="15" thickBot="1" x14ac:dyDescent="0.35">
      <c r="H124" s="85">
        <v>16.3</v>
      </c>
    </row>
    <row r="125" spans="8:8" ht="15" thickBot="1" x14ac:dyDescent="0.35">
      <c r="H125" s="85">
        <v>17.5</v>
      </c>
    </row>
    <row r="126" spans="8:8" ht="15" thickBot="1" x14ac:dyDescent="0.35">
      <c r="H126" s="85">
        <v>19</v>
      </c>
    </row>
    <row r="127" spans="8:8" ht="15" thickBot="1" x14ac:dyDescent="0.35">
      <c r="H127" s="85">
        <v>22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6AFE9-9A19-4A51-8287-AD7461392382}">
  <dimension ref="A1:AQ37"/>
  <sheetViews>
    <sheetView zoomScale="85" zoomScaleNormal="85" workbookViewId="0">
      <selection sqref="A1:AQ37"/>
    </sheetView>
  </sheetViews>
  <sheetFormatPr baseColWidth="10" defaultRowHeight="14.4" x14ac:dyDescent="0.3"/>
  <cols>
    <col min="4" max="4" width="13.6640625" customWidth="1"/>
    <col min="5" max="5" width="14" customWidth="1"/>
    <col min="6" max="6" width="12.109375" customWidth="1"/>
    <col min="7" max="7" width="12.33203125" customWidth="1"/>
    <col min="8" max="8" width="14" customWidth="1"/>
    <col min="9" max="9" width="14.44140625" customWidth="1"/>
    <col min="10" max="10" width="12.109375" customWidth="1"/>
    <col min="11" max="11" width="12.33203125" customWidth="1"/>
    <col min="12" max="12" width="12.109375" customWidth="1"/>
    <col min="13" max="13" width="12.33203125" customWidth="1"/>
    <col min="14" max="14" width="12.109375" customWidth="1"/>
    <col min="15" max="15" width="12.33203125" customWidth="1"/>
    <col min="16" max="16" width="12.109375" customWidth="1"/>
    <col min="17" max="17" width="12.33203125" customWidth="1"/>
    <col min="18" max="18" width="12.109375" customWidth="1"/>
    <col min="19" max="19" width="12.33203125" customWidth="1"/>
    <col min="20" max="20" width="12.6640625" customWidth="1"/>
    <col min="21" max="21" width="13.109375" customWidth="1"/>
    <col min="22" max="22" width="12.6640625" customWidth="1"/>
    <col min="23" max="23" width="13.109375" customWidth="1"/>
    <col min="24" max="24" width="12.6640625" customWidth="1"/>
    <col min="25" max="25" width="13.109375" customWidth="1"/>
    <col min="26" max="26" width="12.6640625" customWidth="1"/>
    <col min="27" max="28" width="13.109375" customWidth="1"/>
    <col min="29" max="29" width="13.33203125" customWidth="1"/>
    <col min="30" max="30" width="13.109375" customWidth="1"/>
    <col min="31" max="31" width="13.33203125" customWidth="1"/>
    <col min="32" max="32" width="13.109375" customWidth="1"/>
    <col min="33" max="33" width="13.33203125" customWidth="1"/>
    <col min="34" max="34" width="13.109375" customWidth="1"/>
    <col min="35" max="35" width="13.33203125" customWidth="1"/>
    <col min="36" max="36" width="13.109375" customWidth="1"/>
    <col min="37" max="37" width="13.33203125" customWidth="1"/>
    <col min="38" max="38" width="13.109375" customWidth="1"/>
    <col min="39" max="39" width="13.33203125" customWidth="1"/>
    <col min="40" max="40" width="13.109375" customWidth="1"/>
    <col min="41" max="41" width="13.33203125" customWidth="1"/>
    <col min="42" max="42" width="13.109375" customWidth="1"/>
    <col min="43" max="43" width="13.33203125" customWidth="1"/>
  </cols>
  <sheetData>
    <row r="1" spans="1:43" ht="15" thickBot="1" x14ac:dyDescent="0.35">
      <c r="A1" s="90" t="s">
        <v>683</v>
      </c>
      <c r="B1" s="90" t="s">
        <v>684</v>
      </c>
      <c r="C1" s="91" t="s">
        <v>685</v>
      </c>
      <c r="D1" s="92" t="s">
        <v>687</v>
      </c>
      <c r="E1" s="92" t="s">
        <v>688</v>
      </c>
      <c r="F1" s="92" t="s">
        <v>686</v>
      </c>
      <c r="G1" s="91" t="s">
        <v>689</v>
      </c>
      <c r="H1" s="92" t="s">
        <v>690</v>
      </c>
      <c r="I1" s="91" t="s">
        <v>691</v>
      </c>
      <c r="J1" s="92" t="s">
        <v>692</v>
      </c>
      <c r="K1" s="91" t="s">
        <v>693</v>
      </c>
      <c r="L1" s="92" t="s">
        <v>694</v>
      </c>
      <c r="M1" s="91" t="s">
        <v>695</v>
      </c>
      <c r="N1" s="92" t="s">
        <v>696</v>
      </c>
      <c r="O1" s="91" t="s">
        <v>697</v>
      </c>
      <c r="P1" s="92" t="s">
        <v>698</v>
      </c>
      <c r="Q1" s="91" t="s">
        <v>699</v>
      </c>
      <c r="R1" s="92" t="s">
        <v>700</v>
      </c>
      <c r="S1" s="91" t="s">
        <v>701</v>
      </c>
      <c r="T1" s="92" t="s">
        <v>702</v>
      </c>
      <c r="U1" s="91" t="s">
        <v>703</v>
      </c>
      <c r="V1" s="92" t="s">
        <v>704</v>
      </c>
      <c r="W1" s="91" t="s">
        <v>705</v>
      </c>
      <c r="X1" s="92" t="s">
        <v>706</v>
      </c>
      <c r="Y1" s="91" t="s">
        <v>707</v>
      </c>
      <c r="Z1" s="92" t="s">
        <v>708</v>
      </c>
      <c r="AA1" s="93" t="s">
        <v>709</v>
      </c>
      <c r="AB1" s="92" t="s">
        <v>710</v>
      </c>
      <c r="AC1" s="91" t="s">
        <v>711</v>
      </c>
      <c r="AD1" s="92" t="s">
        <v>712</v>
      </c>
      <c r="AE1" s="91" t="s">
        <v>713</v>
      </c>
      <c r="AF1" s="92" t="s">
        <v>714</v>
      </c>
      <c r="AG1" s="91" t="s">
        <v>715</v>
      </c>
      <c r="AH1" s="92" t="s">
        <v>716</v>
      </c>
      <c r="AI1" s="91" t="s">
        <v>717</v>
      </c>
      <c r="AJ1" s="92" t="s">
        <v>718</v>
      </c>
      <c r="AK1" s="91" t="s">
        <v>719</v>
      </c>
      <c r="AL1" s="92" t="s">
        <v>720</v>
      </c>
      <c r="AM1" s="91" t="s">
        <v>721</v>
      </c>
      <c r="AN1" s="92" t="s">
        <v>722</v>
      </c>
      <c r="AO1" s="91" t="s">
        <v>723</v>
      </c>
      <c r="AP1" s="92" t="s">
        <v>724</v>
      </c>
      <c r="AQ1" s="91" t="s">
        <v>725</v>
      </c>
    </row>
    <row r="2" spans="1:43" ht="15" thickBot="1" x14ac:dyDescent="0.35">
      <c r="A2" s="89" t="s">
        <v>200</v>
      </c>
      <c r="B2" s="82" t="s">
        <v>533</v>
      </c>
      <c r="C2" s="82" t="s">
        <v>559</v>
      </c>
      <c r="D2" s="81">
        <v>0</v>
      </c>
      <c r="E2" s="81">
        <v>0</v>
      </c>
      <c r="F2" s="81">
        <v>0</v>
      </c>
      <c r="G2" s="81">
        <v>0</v>
      </c>
      <c r="H2" s="81">
        <v>0</v>
      </c>
      <c r="I2" s="81">
        <v>0</v>
      </c>
      <c r="J2" s="81">
        <v>0</v>
      </c>
      <c r="K2" s="81">
        <v>0</v>
      </c>
      <c r="L2" s="81">
        <v>0</v>
      </c>
      <c r="M2" s="81">
        <v>0</v>
      </c>
      <c r="N2" s="81">
        <v>0</v>
      </c>
      <c r="O2" s="81">
        <v>0</v>
      </c>
      <c r="P2" s="81">
        <v>0</v>
      </c>
      <c r="Q2" s="81">
        <v>0</v>
      </c>
      <c r="R2" s="81">
        <v>0</v>
      </c>
      <c r="S2" s="81">
        <v>0</v>
      </c>
      <c r="T2" s="81">
        <v>0</v>
      </c>
      <c r="U2" s="81">
        <v>0</v>
      </c>
      <c r="V2" s="81">
        <v>0</v>
      </c>
      <c r="W2" s="81">
        <v>0</v>
      </c>
      <c r="X2" s="81">
        <v>0</v>
      </c>
      <c r="Y2" s="81">
        <v>0</v>
      </c>
      <c r="Z2" s="81">
        <v>0</v>
      </c>
      <c r="AA2" s="81">
        <v>0</v>
      </c>
      <c r="AB2" s="81">
        <v>0</v>
      </c>
      <c r="AC2" s="81">
        <v>0</v>
      </c>
      <c r="AD2" s="81">
        <v>0</v>
      </c>
      <c r="AE2" s="81">
        <v>0</v>
      </c>
      <c r="AF2" s="81">
        <v>0</v>
      </c>
      <c r="AG2" s="81">
        <v>0</v>
      </c>
      <c r="AH2" s="81">
        <v>0</v>
      </c>
      <c r="AI2" s="81">
        <v>0</v>
      </c>
      <c r="AJ2" s="81">
        <v>0</v>
      </c>
      <c r="AK2" s="81">
        <v>0</v>
      </c>
      <c r="AL2" s="81">
        <v>0</v>
      </c>
      <c r="AM2" s="81">
        <v>0</v>
      </c>
      <c r="AN2" s="81">
        <v>0</v>
      </c>
      <c r="AO2" s="81">
        <v>0</v>
      </c>
      <c r="AP2" s="81">
        <v>0</v>
      </c>
      <c r="AQ2" s="81">
        <v>0</v>
      </c>
    </row>
    <row r="3" spans="1:43" ht="15" thickBot="1" x14ac:dyDescent="0.35">
      <c r="A3" s="89">
        <v>3</v>
      </c>
      <c r="B3" s="82" t="s">
        <v>560</v>
      </c>
      <c r="C3" s="82" t="s">
        <v>561</v>
      </c>
      <c r="D3" s="81">
        <v>0</v>
      </c>
      <c r="E3" s="81">
        <v>0</v>
      </c>
      <c r="F3" s="81">
        <v>0</v>
      </c>
      <c r="G3" s="81">
        <v>0</v>
      </c>
      <c r="H3" s="81">
        <v>0</v>
      </c>
      <c r="I3" s="81">
        <v>0</v>
      </c>
      <c r="J3" s="81">
        <v>0</v>
      </c>
      <c r="K3" s="81">
        <v>0</v>
      </c>
      <c r="L3" s="81">
        <v>0</v>
      </c>
      <c r="M3" s="81">
        <v>0</v>
      </c>
      <c r="N3" s="81">
        <v>0</v>
      </c>
      <c r="O3" s="81">
        <v>0</v>
      </c>
      <c r="P3" s="81">
        <v>0</v>
      </c>
      <c r="Q3" s="81">
        <v>0</v>
      </c>
      <c r="R3" s="81">
        <v>0</v>
      </c>
      <c r="S3" s="81">
        <v>0</v>
      </c>
      <c r="T3" s="81">
        <v>0</v>
      </c>
      <c r="U3" s="81">
        <v>0</v>
      </c>
      <c r="V3" s="81">
        <v>0</v>
      </c>
      <c r="W3" s="81">
        <v>0</v>
      </c>
      <c r="X3" s="81">
        <v>0</v>
      </c>
      <c r="Y3" s="81">
        <v>0</v>
      </c>
      <c r="Z3" s="81">
        <v>0</v>
      </c>
      <c r="AA3" s="81">
        <v>0</v>
      </c>
      <c r="AB3" s="81">
        <v>0</v>
      </c>
      <c r="AC3" s="81">
        <v>0</v>
      </c>
      <c r="AD3" s="81">
        <v>0</v>
      </c>
      <c r="AE3" s="81">
        <v>0</v>
      </c>
      <c r="AF3" s="81">
        <v>0</v>
      </c>
      <c r="AG3" s="81">
        <v>0</v>
      </c>
      <c r="AH3" s="81">
        <v>0</v>
      </c>
      <c r="AI3" s="81">
        <v>0</v>
      </c>
      <c r="AJ3" s="81">
        <v>0</v>
      </c>
      <c r="AK3" s="81">
        <v>0</v>
      </c>
      <c r="AL3" s="81">
        <v>0</v>
      </c>
      <c r="AM3" s="81">
        <v>0</v>
      </c>
      <c r="AN3" s="81">
        <v>0</v>
      </c>
      <c r="AO3" s="81">
        <v>0</v>
      </c>
      <c r="AP3" s="81">
        <v>0</v>
      </c>
      <c r="AQ3" s="81">
        <v>0</v>
      </c>
    </row>
    <row r="4" spans="1:43" ht="15" thickBot="1" x14ac:dyDescent="0.35">
      <c r="A4" s="89">
        <v>4</v>
      </c>
      <c r="B4" s="82" t="s">
        <v>562</v>
      </c>
      <c r="C4" s="82" t="s">
        <v>563</v>
      </c>
      <c r="D4" s="81">
        <v>0</v>
      </c>
      <c r="E4" s="81">
        <v>0</v>
      </c>
      <c r="F4" s="81">
        <v>0</v>
      </c>
      <c r="G4" s="81">
        <v>0</v>
      </c>
      <c r="H4" s="81">
        <v>0</v>
      </c>
      <c r="I4" s="81">
        <v>0</v>
      </c>
      <c r="J4" s="81">
        <v>0</v>
      </c>
      <c r="K4" s="81">
        <v>0</v>
      </c>
      <c r="L4" s="81">
        <v>0</v>
      </c>
      <c r="M4" s="81">
        <v>0</v>
      </c>
      <c r="N4" s="81">
        <v>0</v>
      </c>
      <c r="O4" s="81">
        <v>0</v>
      </c>
      <c r="P4" s="81">
        <v>0</v>
      </c>
      <c r="Q4" s="81">
        <v>0</v>
      </c>
      <c r="R4" s="81">
        <v>0</v>
      </c>
      <c r="S4" s="81">
        <v>0</v>
      </c>
      <c r="T4" s="81">
        <v>0</v>
      </c>
      <c r="U4" s="81">
        <v>0</v>
      </c>
      <c r="V4" s="81">
        <v>0</v>
      </c>
      <c r="W4" s="81">
        <v>0</v>
      </c>
      <c r="X4" s="81">
        <v>0</v>
      </c>
      <c r="Y4" s="81">
        <v>0</v>
      </c>
      <c r="Z4" s="81">
        <v>0</v>
      </c>
      <c r="AA4" s="81">
        <v>0</v>
      </c>
      <c r="AB4" s="81">
        <v>0</v>
      </c>
      <c r="AC4" s="81">
        <v>0</v>
      </c>
      <c r="AD4" s="81">
        <v>0</v>
      </c>
      <c r="AE4" s="81">
        <v>0</v>
      </c>
      <c r="AF4" s="81">
        <v>0</v>
      </c>
      <c r="AG4" s="81">
        <v>0</v>
      </c>
      <c r="AH4" s="81">
        <v>0</v>
      </c>
      <c r="AI4" s="81">
        <v>0</v>
      </c>
      <c r="AJ4" s="81">
        <v>0</v>
      </c>
      <c r="AK4" s="81">
        <v>0</v>
      </c>
      <c r="AL4" s="81">
        <v>0</v>
      </c>
      <c r="AM4" s="81">
        <v>0</v>
      </c>
      <c r="AN4" s="81">
        <v>0</v>
      </c>
      <c r="AO4" s="81">
        <v>0</v>
      </c>
      <c r="AP4" s="81">
        <v>0</v>
      </c>
      <c r="AQ4" s="81">
        <v>0</v>
      </c>
    </row>
    <row r="5" spans="1:43" ht="15" thickBot="1" x14ac:dyDescent="0.35">
      <c r="A5" s="89">
        <v>5</v>
      </c>
      <c r="B5" s="82" t="s">
        <v>564</v>
      </c>
      <c r="C5" s="82" t="s">
        <v>565</v>
      </c>
      <c r="D5" s="81">
        <v>0</v>
      </c>
      <c r="E5" s="81">
        <v>0</v>
      </c>
      <c r="F5" s="81">
        <v>0</v>
      </c>
      <c r="G5" s="81">
        <v>0</v>
      </c>
      <c r="H5" s="81">
        <v>0</v>
      </c>
      <c r="I5" s="81">
        <v>0</v>
      </c>
      <c r="J5" s="81">
        <v>0</v>
      </c>
      <c r="K5" s="81">
        <v>0</v>
      </c>
      <c r="L5" s="81">
        <v>0</v>
      </c>
      <c r="M5" s="81">
        <v>0</v>
      </c>
      <c r="N5" s="81">
        <v>0</v>
      </c>
      <c r="O5" s="81">
        <v>0</v>
      </c>
      <c r="P5" s="81">
        <v>0</v>
      </c>
      <c r="Q5" s="81">
        <v>0</v>
      </c>
      <c r="R5" s="81">
        <v>0</v>
      </c>
      <c r="S5" s="81">
        <v>0</v>
      </c>
      <c r="T5" s="81">
        <v>0</v>
      </c>
      <c r="U5" s="81">
        <v>0</v>
      </c>
      <c r="V5" s="81">
        <v>0</v>
      </c>
      <c r="W5" s="81">
        <v>0</v>
      </c>
      <c r="X5" s="81">
        <v>0</v>
      </c>
      <c r="Y5" s="81">
        <v>0</v>
      </c>
      <c r="Z5" s="81">
        <v>0</v>
      </c>
      <c r="AA5" s="81">
        <v>0</v>
      </c>
      <c r="AB5" s="81">
        <v>0</v>
      </c>
      <c r="AC5" s="81">
        <v>0</v>
      </c>
      <c r="AD5" s="81">
        <v>0</v>
      </c>
      <c r="AE5" s="81">
        <v>0</v>
      </c>
      <c r="AF5" s="81">
        <v>0</v>
      </c>
      <c r="AG5" s="81">
        <v>0</v>
      </c>
      <c r="AH5" s="81">
        <v>0</v>
      </c>
      <c r="AI5" s="81">
        <v>0</v>
      </c>
      <c r="AJ5" s="81">
        <v>0</v>
      </c>
      <c r="AK5" s="81">
        <v>0</v>
      </c>
      <c r="AL5" s="81">
        <v>0</v>
      </c>
      <c r="AM5" s="81">
        <v>0</v>
      </c>
      <c r="AN5" s="81">
        <v>0</v>
      </c>
      <c r="AO5" s="81">
        <v>0</v>
      </c>
      <c r="AP5" s="81">
        <v>0</v>
      </c>
      <c r="AQ5" s="81">
        <v>0</v>
      </c>
    </row>
    <row r="6" spans="1:43" ht="15" thickBot="1" x14ac:dyDescent="0.35">
      <c r="A6" s="89">
        <v>6</v>
      </c>
      <c r="B6" s="82" t="s">
        <v>566</v>
      </c>
      <c r="C6" s="82" t="s">
        <v>567</v>
      </c>
      <c r="D6" s="81">
        <v>0</v>
      </c>
      <c r="E6" s="81">
        <v>0</v>
      </c>
      <c r="F6" s="81">
        <v>0</v>
      </c>
      <c r="G6" s="81">
        <v>0</v>
      </c>
      <c r="H6" s="81">
        <v>0</v>
      </c>
      <c r="I6" s="81">
        <v>0</v>
      </c>
      <c r="J6" s="81">
        <v>0</v>
      </c>
      <c r="K6" s="81">
        <v>0</v>
      </c>
      <c r="L6" s="81">
        <v>0</v>
      </c>
      <c r="M6" s="81">
        <v>0</v>
      </c>
      <c r="N6" s="81">
        <v>0</v>
      </c>
      <c r="O6" s="81">
        <v>0</v>
      </c>
      <c r="P6" s="81">
        <v>0</v>
      </c>
      <c r="Q6" s="81">
        <v>0</v>
      </c>
      <c r="R6" s="81">
        <v>0</v>
      </c>
      <c r="S6" s="81">
        <v>0</v>
      </c>
      <c r="T6" s="81">
        <v>0</v>
      </c>
      <c r="U6" s="81">
        <v>0</v>
      </c>
      <c r="V6" s="81">
        <v>0</v>
      </c>
      <c r="W6" s="81">
        <v>0</v>
      </c>
      <c r="X6" s="81">
        <v>0</v>
      </c>
      <c r="Y6" s="81">
        <v>0</v>
      </c>
      <c r="Z6" s="81">
        <v>0</v>
      </c>
      <c r="AA6" s="81">
        <v>0</v>
      </c>
      <c r="AB6" s="81">
        <v>0</v>
      </c>
      <c r="AC6" s="81">
        <v>0</v>
      </c>
      <c r="AD6" s="81">
        <v>0</v>
      </c>
      <c r="AE6" s="81">
        <v>0</v>
      </c>
      <c r="AF6" s="81">
        <v>0</v>
      </c>
      <c r="AG6" s="81">
        <v>0</v>
      </c>
      <c r="AH6" s="81">
        <v>0</v>
      </c>
      <c r="AI6" s="81">
        <v>0</v>
      </c>
      <c r="AJ6" s="81">
        <v>0</v>
      </c>
      <c r="AK6" s="81">
        <v>0</v>
      </c>
      <c r="AL6" s="81">
        <v>0</v>
      </c>
      <c r="AM6" s="81">
        <v>0</v>
      </c>
      <c r="AN6" s="81">
        <v>0</v>
      </c>
      <c r="AO6" s="81">
        <v>0</v>
      </c>
      <c r="AP6" s="81">
        <v>0</v>
      </c>
      <c r="AQ6" s="81">
        <v>0</v>
      </c>
    </row>
    <row r="7" spans="1:43" ht="15" thickBot="1" x14ac:dyDescent="0.35">
      <c r="A7" s="89">
        <v>8</v>
      </c>
      <c r="B7" s="82" t="s">
        <v>568</v>
      </c>
      <c r="C7" s="82" t="s">
        <v>569</v>
      </c>
      <c r="D7" s="81">
        <v>0</v>
      </c>
      <c r="E7" s="81">
        <v>0</v>
      </c>
      <c r="F7" s="81">
        <v>0</v>
      </c>
      <c r="G7" s="81">
        <v>0</v>
      </c>
      <c r="H7" s="81">
        <v>0</v>
      </c>
      <c r="I7" s="81">
        <v>0</v>
      </c>
      <c r="J7" s="81">
        <v>0</v>
      </c>
      <c r="K7" s="81">
        <v>0</v>
      </c>
      <c r="L7" s="81">
        <v>0</v>
      </c>
      <c r="M7" s="81">
        <v>0</v>
      </c>
      <c r="N7" s="81">
        <v>0</v>
      </c>
      <c r="O7" s="81">
        <v>0</v>
      </c>
      <c r="P7" s="81">
        <v>0</v>
      </c>
      <c r="Q7" s="81">
        <v>0</v>
      </c>
      <c r="R7" s="81">
        <v>0</v>
      </c>
      <c r="S7" s="81">
        <v>0</v>
      </c>
      <c r="T7" s="81">
        <v>0</v>
      </c>
      <c r="U7" s="81">
        <v>0</v>
      </c>
      <c r="V7" s="81">
        <v>0</v>
      </c>
      <c r="W7" s="81">
        <v>0</v>
      </c>
      <c r="X7" s="81">
        <v>0</v>
      </c>
      <c r="Y7" s="81">
        <v>0</v>
      </c>
      <c r="Z7" s="81">
        <v>0</v>
      </c>
      <c r="AA7" s="81">
        <v>0</v>
      </c>
      <c r="AB7" s="81">
        <v>0</v>
      </c>
      <c r="AC7" s="81">
        <v>0</v>
      </c>
      <c r="AD7" s="81">
        <v>0</v>
      </c>
      <c r="AE7" s="81">
        <v>0</v>
      </c>
      <c r="AF7" s="81">
        <v>0</v>
      </c>
      <c r="AG7" s="81">
        <v>0</v>
      </c>
      <c r="AH7" s="81">
        <v>0</v>
      </c>
      <c r="AI7" s="81">
        <v>0</v>
      </c>
      <c r="AJ7" s="81">
        <v>0</v>
      </c>
      <c r="AK7" s="81">
        <v>0</v>
      </c>
      <c r="AL7" s="81">
        <v>0</v>
      </c>
      <c r="AM7" s="81">
        <v>0</v>
      </c>
      <c r="AN7" s="81">
        <v>0</v>
      </c>
      <c r="AO7" s="81">
        <v>0</v>
      </c>
      <c r="AP7" s="81">
        <v>0</v>
      </c>
      <c r="AQ7" s="81">
        <v>0</v>
      </c>
    </row>
    <row r="8" spans="1:43" ht="15" thickBot="1" x14ac:dyDescent="0.35">
      <c r="A8" s="89">
        <v>10</v>
      </c>
      <c r="B8" s="82" t="s">
        <v>570</v>
      </c>
      <c r="C8" s="82" t="s">
        <v>571</v>
      </c>
      <c r="D8" s="81">
        <v>0</v>
      </c>
      <c r="E8" s="81">
        <v>0</v>
      </c>
      <c r="F8" s="81">
        <v>0</v>
      </c>
      <c r="G8" s="81">
        <v>0</v>
      </c>
      <c r="H8" s="81">
        <v>0</v>
      </c>
      <c r="I8" s="81">
        <v>0</v>
      </c>
      <c r="J8" s="81">
        <v>0</v>
      </c>
      <c r="K8" s="81">
        <v>0</v>
      </c>
      <c r="L8" s="81">
        <v>0</v>
      </c>
      <c r="M8" s="81">
        <v>0</v>
      </c>
      <c r="N8" s="81">
        <v>0</v>
      </c>
      <c r="O8" s="81">
        <v>0</v>
      </c>
      <c r="P8" s="81">
        <v>0</v>
      </c>
      <c r="Q8" s="81">
        <v>0</v>
      </c>
      <c r="R8" s="81">
        <v>0</v>
      </c>
      <c r="S8" s="81">
        <v>0</v>
      </c>
      <c r="T8" s="81">
        <v>0</v>
      </c>
      <c r="U8" s="81">
        <v>0</v>
      </c>
      <c r="V8" s="81">
        <v>0</v>
      </c>
      <c r="W8" s="81">
        <v>0</v>
      </c>
      <c r="X8" s="81">
        <v>0</v>
      </c>
      <c r="Y8" s="81">
        <v>0</v>
      </c>
      <c r="Z8" s="81">
        <v>0</v>
      </c>
      <c r="AA8" s="81">
        <v>0</v>
      </c>
      <c r="AB8" s="81">
        <v>0</v>
      </c>
      <c r="AC8" s="81">
        <v>0</v>
      </c>
      <c r="AD8" s="81">
        <v>0</v>
      </c>
      <c r="AE8" s="81">
        <v>0</v>
      </c>
      <c r="AF8" s="81">
        <v>0</v>
      </c>
      <c r="AG8" s="81">
        <v>0</v>
      </c>
      <c r="AH8" s="81">
        <v>0</v>
      </c>
      <c r="AI8" s="81">
        <v>0</v>
      </c>
      <c r="AJ8" s="81">
        <v>0</v>
      </c>
      <c r="AK8" s="81">
        <v>0</v>
      </c>
      <c r="AL8" s="81">
        <v>0</v>
      </c>
      <c r="AM8" s="81">
        <v>0</v>
      </c>
      <c r="AN8" s="81">
        <v>0</v>
      </c>
      <c r="AO8" s="81">
        <v>0</v>
      </c>
      <c r="AP8" s="81">
        <v>0</v>
      </c>
      <c r="AQ8" s="81">
        <v>0</v>
      </c>
    </row>
    <row r="9" spans="1:43" ht="15" thickBot="1" x14ac:dyDescent="0.35">
      <c r="A9" s="89">
        <v>12</v>
      </c>
      <c r="B9" s="82" t="s">
        <v>572</v>
      </c>
      <c r="C9" s="82" t="s">
        <v>573</v>
      </c>
      <c r="D9" s="81">
        <v>0</v>
      </c>
      <c r="E9" s="81">
        <v>0</v>
      </c>
      <c r="F9" s="81">
        <v>0</v>
      </c>
      <c r="G9" s="81">
        <v>0</v>
      </c>
      <c r="H9" s="81">
        <v>0</v>
      </c>
      <c r="I9" s="81">
        <v>0</v>
      </c>
      <c r="J9" s="81">
        <v>0</v>
      </c>
      <c r="K9" s="81">
        <v>0</v>
      </c>
      <c r="L9" s="81">
        <v>0</v>
      </c>
      <c r="M9" s="81">
        <v>0</v>
      </c>
      <c r="N9" s="81">
        <v>0</v>
      </c>
      <c r="O9" s="81">
        <v>0</v>
      </c>
      <c r="P9" s="81">
        <v>0</v>
      </c>
      <c r="Q9" s="81">
        <v>0</v>
      </c>
      <c r="R9" s="81">
        <v>0</v>
      </c>
      <c r="S9" s="81">
        <v>0</v>
      </c>
      <c r="T9" s="81">
        <v>0</v>
      </c>
      <c r="U9" s="81">
        <v>0</v>
      </c>
      <c r="V9" s="81">
        <v>0</v>
      </c>
      <c r="W9" s="81">
        <v>0</v>
      </c>
      <c r="X9" s="81">
        <v>0</v>
      </c>
      <c r="Y9" s="81">
        <v>0</v>
      </c>
      <c r="Z9" s="81">
        <v>0</v>
      </c>
      <c r="AA9" s="81">
        <v>0</v>
      </c>
      <c r="AB9" s="81">
        <v>0</v>
      </c>
      <c r="AC9" s="81">
        <v>0</v>
      </c>
      <c r="AD9" s="81">
        <v>0</v>
      </c>
      <c r="AE9" s="81">
        <v>0</v>
      </c>
      <c r="AF9" s="81">
        <v>0</v>
      </c>
      <c r="AG9" s="81">
        <v>0</v>
      </c>
      <c r="AH9" s="81">
        <v>0</v>
      </c>
      <c r="AI9" s="81">
        <v>0</v>
      </c>
      <c r="AJ9" s="81">
        <v>0</v>
      </c>
      <c r="AK9" s="81">
        <v>0</v>
      </c>
      <c r="AL9" s="81">
        <v>0</v>
      </c>
      <c r="AM9" s="81">
        <v>0</v>
      </c>
      <c r="AN9" s="81">
        <v>0</v>
      </c>
      <c r="AO9" s="81">
        <v>0</v>
      </c>
      <c r="AP9" s="81">
        <v>0</v>
      </c>
      <c r="AQ9" s="81">
        <v>0</v>
      </c>
    </row>
    <row r="10" spans="1:43" ht="15" thickBot="1" x14ac:dyDescent="0.35">
      <c r="A10" s="89">
        <v>16</v>
      </c>
      <c r="B10" s="82" t="s">
        <v>574</v>
      </c>
      <c r="C10" s="82" t="s">
        <v>575</v>
      </c>
      <c r="D10" s="81">
        <v>0</v>
      </c>
      <c r="E10" s="81">
        <v>0</v>
      </c>
      <c r="F10" s="81">
        <v>0</v>
      </c>
      <c r="G10" s="81">
        <v>0</v>
      </c>
      <c r="H10" s="81">
        <v>0</v>
      </c>
      <c r="I10" s="81">
        <v>0</v>
      </c>
      <c r="J10" s="81">
        <v>0</v>
      </c>
      <c r="K10" s="81">
        <v>0</v>
      </c>
      <c r="L10" s="81">
        <v>0</v>
      </c>
      <c r="M10" s="81">
        <v>0</v>
      </c>
      <c r="N10" s="81">
        <v>0</v>
      </c>
      <c r="O10" s="81">
        <v>0</v>
      </c>
      <c r="P10" s="81">
        <v>0</v>
      </c>
      <c r="Q10" s="81">
        <v>0</v>
      </c>
      <c r="R10" s="81">
        <v>0</v>
      </c>
      <c r="S10" s="81">
        <v>0</v>
      </c>
      <c r="T10" s="81">
        <v>0</v>
      </c>
      <c r="U10" s="81">
        <v>0</v>
      </c>
      <c r="V10" s="81">
        <v>0</v>
      </c>
      <c r="W10" s="81">
        <v>0</v>
      </c>
      <c r="X10" s="81">
        <v>0</v>
      </c>
      <c r="Y10" s="81">
        <v>0</v>
      </c>
      <c r="Z10" s="81">
        <v>0</v>
      </c>
      <c r="AA10" s="81">
        <v>0</v>
      </c>
      <c r="AB10" s="81">
        <v>0</v>
      </c>
      <c r="AC10" s="81">
        <v>0</v>
      </c>
      <c r="AD10" s="81">
        <v>0</v>
      </c>
      <c r="AE10" s="81">
        <v>0</v>
      </c>
      <c r="AF10" s="81">
        <v>0</v>
      </c>
      <c r="AG10" s="81">
        <v>0</v>
      </c>
      <c r="AH10" s="81">
        <v>0</v>
      </c>
      <c r="AI10" s="81">
        <v>0</v>
      </c>
      <c r="AJ10" s="81">
        <v>0</v>
      </c>
      <c r="AK10" s="81">
        <v>0</v>
      </c>
      <c r="AL10" s="81">
        <v>0</v>
      </c>
      <c r="AM10" s="81">
        <v>0</v>
      </c>
      <c r="AN10" s="81">
        <v>0</v>
      </c>
      <c r="AO10" s="81">
        <v>0</v>
      </c>
      <c r="AP10" s="81">
        <v>0</v>
      </c>
      <c r="AQ10" s="81">
        <v>0</v>
      </c>
    </row>
    <row r="11" spans="1:43" ht="15" thickBot="1" x14ac:dyDescent="0.35">
      <c r="A11" s="89">
        <v>20</v>
      </c>
      <c r="B11" s="82" t="s">
        <v>576</v>
      </c>
      <c r="C11" s="82" t="s">
        <v>577</v>
      </c>
      <c r="D11" s="82"/>
      <c r="E11" s="82"/>
      <c r="F11" s="82">
        <v>2</v>
      </c>
      <c r="G11" s="82">
        <v>4</v>
      </c>
      <c r="H11" s="81">
        <v>0</v>
      </c>
      <c r="I11" s="81">
        <v>0</v>
      </c>
      <c r="J11" s="81">
        <v>0</v>
      </c>
      <c r="K11" s="81">
        <v>0</v>
      </c>
      <c r="L11" s="81">
        <v>0</v>
      </c>
      <c r="M11" s="81">
        <v>0</v>
      </c>
      <c r="N11" s="81">
        <v>0</v>
      </c>
      <c r="O11" s="81">
        <v>0</v>
      </c>
      <c r="P11" s="81">
        <v>0</v>
      </c>
      <c r="Q11" s="81">
        <v>0</v>
      </c>
      <c r="R11" s="81">
        <v>0</v>
      </c>
      <c r="S11" s="81">
        <v>0</v>
      </c>
      <c r="T11" s="81">
        <v>0</v>
      </c>
      <c r="U11" s="81">
        <v>0</v>
      </c>
      <c r="V11" s="81">
        <v>0</v>
      </c>
      <c r="W11" s="81">
        <v>0</v>
      </c>
      <c r="X11" s="81">
        <v>0</v>
      </c>
      <c r="Y11" s="81">
        <v>0</v>
      </c>
      <c r="Z11" s="81">
        <v>0</v>
      </c>
      <c r="AA11" s="81">
        <v>0</v>
      </c>
      <c r="AB11" s="81">
        <v>0</v>
      </c>
      <c r="AC11" s="81">
        <v>0</v>
      </c>
      <c r="AD11" s="81">
        <v>0</v>
      </c>
      <c r="AE11" s="81">
        <v>0</v>
      </c>
      <c r="AF11" s="81">
        <v>0</v>
      </c>
      <c r="AG11" s="81">
        <v>0</v>
      </c>
      <c r="AH11" s="81">
        <v>0</v>
      </c>
      <c r="AI11" s="81">
        <v>0</v>
      </c>
      <c r="AJ11" s="81">
        <v>0</v>
      </c>
      <c r="AK11" s="81">
        <v>0</v>
      </c>
      <c r="AL11" s="81">
        <v>0</v>
      </c>
      <c r="AM11" s="81">
        <v>0</v>
      </c>
      <c r="AN11" s="81">
        <v>0</v>
      </c>
      <c r="AO11" s="81">
        <v>0</v>
      </c>
      <c r="AP11" s="81">
        <v>0</v>
      </c>
      <c r="AQ11" s="81">
        <v>0</v>
      </c>
    </row>
    <row r="12" spans="1:43" ht="15" thickBot="1" x14ac:dyDescent="0.35">
      <c r="A12" s="89">
        <v>25</v>
      </c>
      <c r="B12" s="82" t="s">
        <v>578</v>
      </c>
      <c r="C12" s="82" t="s">
        <v>579</v>
      </c>
      <c r="D12" s="82"/>
      <c r="E12" s="82"/>
      <c r="F12" s="82"/>
      <c r="G12" s="82"/>
      <c r="H12" s="82" t="s">
        <v>580</v>
      </c>
      <c r="I12" s="82">
        <v>8</v>
      </c>
      <c r="J12" s="82" t="s">
        <v>214</v>
      </c>
      <c r="K12" s="82">
        <v>7</v>
      </c>
      <c r="L12" s="81">
        <v>0</v>
      </c>
      <c r="M12" s="81">
        <v>0</v>
      </c>
      <c r="N12" s="81">
        <v>0</v>
      </c>
      <c r="O12" s="81">
        <v>0</v>
      </c>
      <c r="P12" s="81">
        <v>0</v>
      </c>
      <c r="Q12" s="81">
        <v>0</v>
      </c>
      <c r="R12" s="81">
        <v>0</v>
      </c>
      <c r="S12" s="81">
        <v>0</v>
      </c>
      <c r="T12" s="81">
        <v>0</v>
      </c>
      <c r="U12" s="81">
        <v>0</v>
      </c>
      <c r="V12" s="81">
        <v>0</v>
      </c>
      <c r="W12" s="81">
        <v>0</v>
      </c>
      <c r="X12" s="81">
        <v>0</v>
      </c>
      <c r="Y12" s="81">
        <v>0</v>
      </c>
      <c r="Z12" s="81">
        <v>0</v>
      </c>
      <c r="AA12" s="81">
        <v>0</v>
      </c>
      <c r="AB12" s="81">
        <v>0</v>
      </c>
      <c r="AC12" s="81">
        <v>0</v>
      </c>
      <c r="AD12" s="81">
        <v>0</v>
      </c>
      <c r="AE12" s="81">
        <v>0</v>
      </c>
      <c r="AF12" s="81">
        <v>0</v>
      </c>
      <c r="AG12" s="81">
        <v>0</v>
      </c>
      <c r="AH12" s="81">
        <v>0</v>
      </c>
      <c r="AI12" s="81">
        <v>0</v>
      </c>
      <c r="AJ12" s="81">
        <v>0</v>
      </c>
      <c r="AK12" s="81">
        <v>0</v>
      </c>
      <c r="AL12" s="81">
        <v>0</v>
      </c>
      <c r="AM12" s="81">
        <v>0</v>
      </c>
      <c r="AN12" s="81">
        <v>0</v>
      </c>
      <c r="AO12" s="81">
        <v>0</v>
      </c>
      <c r="AP12" s="81">
        <v>0</v>
      </c>
      <c r="AQ12" s="81">
        <v>0</v>
      </c>
    </row>
    <row r="13" spans="1:43" ht="15" thickBot="1" x14ac:dyDescent="0.35">
      <c r="A13" s="89">
        <v>30</v>
      </c>
      <c r="B13" s="82" t="s">
        <v>581</v>
      </c>
      <c r="C13" s="82" t="s">
        <v>582</v>
      </c>
      <c r="D13" s="82"/>
      <c r="E13" s="82"/>
      <c r="F13" s="82"/>
      <c r="G13" s="82"/>
      <c r="H13" s="82"/>
      <c r="I13" s="82"/>
      <c r="J13" s="82" t="s">
        <v>583</v>
      </c>
      <c r="K13" s="82">
        <v>12</v>
      </c>
      <c r="L13" s="82" t="s">
        <v>584</v>
      </c>
      <c r="M13" s="82">
        <v>10</v>
      </c>
      <c r="N13" s="82">
        <v>4</v>
      </c>
      <c r="O13" s="82">
        <v>8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  <c r="V13" s="81">
        <v>0</v>
      </c>
      <c r="W13" s="81">
        <v>0</v>
      </c>
      <c r="X13" s="81">
        <v>0</v>
      </c>
      <c r="Y13" s="81">
        <v>0</v>
      </c>
      <c r="Z13" s="81">
        <v>0</v>
      </c>
      <c r="AA13" s="81">
        <v>0</v>
      </c>
      <c r="AB13" s="81">
        <v>0</v>
      </c>
      <c r="AC13" s="81">
        <v>0</v>
      </c>
      <c r="AD13" s="81">
        <v>0</v>
      </c>
      <c r="AE13" s="81">
        <v>0</v>
      </c>
      <c r="AF13" s="81">
        <v>0</v>
      </c>
      <c r="AG13" s="81">
        <v>0</v>
      </c>
      <c r="AH13" s="81">
        <v>0</v>
      </c>
      <c r="AI13" s="81">
        <v>0</v>
      </c>
      <c r="AJ13" s="81">
        <v>0</v>
      </c>
      <c r="AK13" s="81">
        <v>0</v>
      </c>
      <c r="AL13" s="81">
        <v>0</v>
      </c>
      <c r="AM13" s="81">
        <v>0</v>
      </c>
      <c r="AN13" s="81">
        <v>0</v>
      </c>
      <c r="AO13" s="81">
        <v>0</v>
      </c>
      <c r="AP13" s="81">
        <v>0</v>
      </c>
      <c r="AQ13" s="81">
        <v>0</v>
      </c>
    </row>
    <row r="14" spans="1:43" ht="15" thickBot="1" x14ac:dyDescent="0.35">
      <c r="A14" s="89">
        <v>35</v>
      </c>
      <c r="B14" s="82" t="s">
        <v>585</v>
      </c>
      <c r="C14" s="82" t="s">
        <v>586</v>
      </c>
      <c r="D14" s="82"/>
      <c r="E14" s="82"/>
      <c r="F14" s="82"/>
      <c r="G14" s="82"/>
      <c r="H14" s="82"/>
      <c r="I14" s="82"/>
      <c r="J14" s="82"/>
      <c r="K14" s="82"/>
      <c r="L14" s="82" t="s">
        <v>587</v>
      </c>
      <c r="M14" s="82">
        <v>15</v>
      </c>
      <c r="N14" s="82">
        <v>9</v>
      </c>
      <c r="O14" s="82">
        <v>13</v>
      </c>
      <c r="P14" s="82">
        <v>6</v>
      </c>
      <c r="Q14" s="82">
        <v>11</v>
      </c>
      <c r="R14" s="81">
        <v>0</v>
      </c>
      <c r="S14" s="81">
        <v>0</v>
      </c>
      <c r="T14" s="81">
        <v>0</v>
      </c>
      <c r="U14" s="81">
        <v>0</v>
      </c>
      <c r="V14" s="81">
        <v>0</v>
      </c>
      <c r="W14" s="81">
        <v>0</v>
      </c>
      <c r="X14" s="81">
        <v>0</v>
      </c>
      <c r="Y14" s="81">
        <v>0</v>
      </c>
      <c r="Z14" s="81">
        <v>0</v>
      </c>
      <c r="AA14" s="81">
        <v>0</v>
      </c>
      <c r="AB14" s="81">
        <v>0</v>
      </c>
      <c r="AC14" s="81">
        <v>0</v>
      </c>
      <c r="AD14" s="81">
        <v>0</v>
      </c>
      <c r="AE14" s="81">
        <v>0</v>
      </c>
      <c r="AF14" s="81">
        <v>0</v>
      </c>
      <c r="AG14" s="81">
        <v>0</v>
      </c>
      <c r="AH14" s="81">
        <v>0</v>
      </c>
      <c r="AI14" s="81">
        <v>0</v>
      </c>
      <c r="AJ14" s="81">
        <v>0</v>
      </c>
      <c r="AK14" s="81">
        <v>0</v>
      </c>
      <c r="AL14" s="81">
        <v>0</v>
      </c>
      <c r="AM14" s="81">
        <v>0</v>
      </c>
      <c r="AN14" s="81">
        <v>0</v>
      </c>
      <c r="AO14" s="81">
        <v>0</v>
      </c>
      <c r="AP14" s="81">
        <v>0</v>
      </c>
      <c r="AQ14" s="81">
        <v>0</v>
      </c>
    </row>
    <row r="15" spans="1:43" ht="15" thickBot="1" x14ac:dyDescent="0.35">
      <c r="A15" s="89">
        <v>40</v>
      </c>
      <c r="B15" s="82" t="s">
        <v>588</v>
      </c>
      <c r="C15" s="82" t="s">
        <v>589</v>
      </c>
      <c r="D15" s="82"/>
      <c r="E15" s="82"/>
      <c r="F15" s="82"/>
      <c r="G15" s="82"/>
      <c r="H15" s="82"/>
      <c r="I15" s="82"/>
      <c r="J15" s="82"/>
      <c r="K15" s="82"/>
      <c r="L15" s="82" t="s">
        <v>590</v>
      </c>
      <c r="M15" s="82">
        <v>20</v>
      </c>
      <c r="N15" s="82">
        <v>14</v>
      </c>
      <c r="O15" s="82">
        <v>18</v>
      </c>
      <c r="P15" s="82">
        <v>11</v>
      </c>
      <c r="Q15" s="82">
        <v>16</v>
      </c>
      <c r="R15" s="82" t="s">
        <v>580</v>
      </c>
      <c r="S15" s="82">
        <v>12</v>
      </c>
      <c r="T15" s="81">
        <v>0</v>
      </c>
      <c r="U15" s="81">
        <v>0</v>
      </c>
      <c r="V15" s="81">
        <v>0</v>
      </c>
      <c r="W15" s="81">
        <v>0</v>
      </c>
      <c r="X15" s="81">
        <v>0</v>
      </c>
      <c r="Y15" s="81">
        <v>0</v>
      </c>
      <c r="Z15" s="81">
        <v>0</v>
      </c>
      <c r="AA15" s="81">
        <v>0</v>
      </c>
      <c r="AB15" s="81">
        <v>0</v>
      </c>
      <c r="AC15" s="81">
        <v>0</v>
      </c>
      <c r="AD15" s="81">
        <v>0</v>
      </c>
      <c r="AE15" s="81">
        <v>0</v>
      </c>
      <c r="AF15" s="81">
        <v>0</v>
      </c>
      <c r="AG15" s="81">
        <v>0</v>
      </c>
      <c r="AH15" s="81">
        <v>0</v>
      </c>
      <c r="AI15" s="81">
        <v>0</v>
      </c>
      <c r="AJ15" s="81">
        <v>0</v>
      </c>
      <c r="AK15" s="81">
        <v>0</v>
      </c>
      <c r="AL15" s="81">
        <v>0</v>
      </c>
      <c r="AM15" s="81">
        <v>0</v>
      </c>
      <c r="AN15" s="81">
        <v>0</v>
      </c>
      <c r="AO15" s="81">
        <v>0</v>
      </c>
      <c r="AP15" s="81">
        <v>0</v>
      </c>
      <c r="AQ15" s="81">
        <v>0</v>
      </c>
    </row>
    <row r="16" spans="1:43" ht="15" thickBot="1" x14ac:dyDescent="0.35">
      <c r="A16" s="89">
        <v>45</v>
      </c>
      <c r="B16" s="82" t="s">
        <v>591</v>
      </c>
      <c r="C16" s="82" t="s">
        <v>592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>
        <v>19</v>
      </c>
      <c r="O16" s="82">
        <v>23</v>
      </c>
      <c r="P16" s="82">
        <v>16</v>
      </c>
      <c r="Q16" s="82">
        <v>21</v>
      </c>
      <c r="R16" s="82" t="s">
        <v>593</v>
      </c>
      <c r="S16" s="82">
        <v>17</v>
      </c>
      <c r="T16" s="82" t="s">
        <v>247</v>
      </c>
      <c r="U16" s="82">
        <v>13</v>
      </c>
      <c r="V16" s="81">
        <v>0</v>
      </c>
      <c r="W16" s="81">
        <v>0</v>
      </c>
      <c r="X16" s="81">
        <v>0</v>
      </c>
      <c r="Y16" s="81">
        <v>0</v>
      </c>
      <c r="Z16" s="81">
        <v>0</v>
      </c>
      <c r="AA16" s="81">
        <v>0</v>
      </c>
      <c r="AB16" s="81">
        <v>0</v>
      </c>
      <c r="AC16" s="81">
        <v>0</v>
      </c>
      <c r="AD16" s="81">
        <v>0</v>
      </c>
      <c r="AE16" s="81">
        <v>0</v>
      </c>
      <c r="AF16" s="81">
        <v>0</v>
      </c>
      <c r="AG16" s="81">
        <v>0</v>
      </c>
      <c r="AH16" s="81">
        <v>0</v>
      </c>
      <c r="AI16" s="81">
        <v>0</v>
      </c>
      <c r="AJ16" s="81">
        <v>0</v>
      </c>
      <c r="AK16" s="81">
        <v>0</v>
      </c>
      <c r="AL16" s="81">
        <v>0</v>
      </c>
      <c r="AM16" s="81">
        <v>0</v>
      </c>
      <c r="AN16" s="81">
        <v>0</v>
      </c>
      <c r="AO16" s="81">
        <v>0</v>
      </c>
      <c r="AP16" s="81">
        <v>0</v>
      </c>
      <c r="AQ16" s="81">
        <v>0</v>
      </c>
    </row>
    <row r="17" spans="1:43" ht="15" thickBot="1" x14ac:dyDescent="0.35">
      <c r="A17" s="89">
        <v>50</v>
      </c>
      <c r="B17" s="82" t="s">
        <v>594</v>
      </c>
      <c r="C17" s="82" t="s">
        <v>595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>
        <v>24</v>
      </c>
      <c r="O17" s="82">
        <v>28</v>
      </c>
      <c r="P17" s="82">
        <v>21</v>
      </c>
      <c r="Q17" s="82">
        <v>26</v>
      </c>
      <c r="R17" s="82" t="s">
        <v>596</v>
      </c>
      <c r="S17" s="82">
        <v>22</v>
      </c>
      <c r="T17" s="82" t="s">
        <v>597</v>
      </c>
      <c r="U17" s="82">
        <v>18</v>
      </c>
      <c r="V17" s="81">
        <v>0</v>
      </c>
      <c r="W17" s="81">
        <v>0</v>
      </c>
      <c r="X17" s="81">
        <v>0</v>
      </c>
      <c r="Y17" s="81">
        <v>0</v>
      </c>
      <c r="Z17" s="81">
        <v>0</v>
      </c>
      <c r="AA17" s="81">
        <v>0</v>
      </c>
      <c r="AB17" s="81">
        <v>0</v>
      </c>
      <c r="AC17" s="81">
        <v>0</v>
      </c>
      <c r="AD17" s="81">
        <v>0</v>
      </c>
      <c r="AE17" s="81">
        <v>0</v>
      </c>
      <c r="AF17" s="81">
        <v>0</v>
      </c>
      <c r="AG17" s="81">
        <v>0</v>
      </c>
      <c r="AH17" s="81">
        <v>0</v>
      </c>
      <c r="AI17" s="81">
        <v>0</v>
      </c>
      <c r="AJ17" s="81">
        <v>0</v>
      </c>
      <c r="AK17" s="81">
        <v>0</v>
      </c>
      <c r="AL17" s="81">
        <v>0</v>
      </c>
      <c r="AM17" s="81">
        <v>0</v>
      </c>
      <c r="AN17" s="81">
        <v>0</v>
      </c>
      <c r="AO17" s="81">
        <v>0</v>
      </c>
      <c r="AP17" s="81">
        <v>0</v>
      </c>
      <c r="AQ17" s="81">
        <v>0</v>
      </c>
    </row>
    <row r="18" spans="1:43" ht="15" thickBot="1" x14ac:dyDescent="0.35">
      <c r="A18" s="89">
        <v>55</v>
      </c>
      <c r="B18" s="82" t="s">
        <v>598</v>
      </c>
      <c r="C18" s="82" t="s">
        <v>599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>
        <v>26</v>
      </c>
      <c r="Q18" s="82">
        <v>31</v>
      </c>
      <c r="R18" s="82" t="s">
        <v>600</v>
      </c>
      <c r="S18" s="82">
        <v>27</v>
      </c>
      <c r="T18" s="82" t="s">
        <v>501</v>
      </c>
      <c r="U18" s="82">
        <v>23</v>
      </c>
      <c r="V18" s="82" t="s">
        <v>601</v>
      </c>
      <c r="W18" s="82">
        <v>19</v>
      </c>
      <c r="X18" s="81">
        <v>0</v>
      </c>
      <c r="Y18" s="81">
        <v>0</v>
      </c>
      <c r="Z18" s="81">
        <v>0</v>
      </c>
      <c r="AA18" s="81">
        <v>0</v>
      </c>
      <c r="AB18" s="81">
        <v>0</v>
      </c>
      <c r="AC18" s="81">
        <v>0</v>
      </c>
      <c r="AD18" s="81">
        <v>0</v>
      </c>
      <c r="AE18" s="81">
        <v>0</v>
      </c>
      <c r="AF18" s="81">
        <v>0</v>
      </c>
      <c r="AG18" s="81">
        <v>0</v>
      </c>
      <c r="AH18" s="81">
        <v>0</v>
      </c>
      <c r="AI18" s="81">
        <v>0</v>
      </c>
      <c r="AJ18" s="81">
        <v>0</v>
      </c>
      <c r="AK18" s="81">
        <v>0</v>
      </c>
      <c r="AL18" s="81">
        <v>0</v>
      </c>
      <c r="AM18" s="81">
        <v>0</v>
      </c>
      <c r="AN18" s="81">
        <v>0</v>
      </c>
      <c r="AO18" s="81">
        <v>0</v>
      </c>
      <c r="AP18" s="81">
        <v>0</v>
      </c>
      <c r="AQ18" s="81">
        <v>0</v>
      </c>
    </row>
    <row r="19" spans="1:43" ht="15" thickBot="1" x14ac:dyDescent="0.35">
      <c r="A19" s="89">
        <v>60</v>
      </c>
      <c r="B19" s="82" t="s">
        <v>602</v>
      </c>
      <c r="C19" s="82" t="s">
        <v>603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>
        <v>31</v>
      </c>
      <c r="Q19" s="82">
        <v>36</v>
      </c>
      <c r="R19" s="82" t="s">
        <v>604</v>
      </c>
      <c r="S19" s="82">
        <v>32</v>
      </c>
      <c r="T19" s="82" t="s">
        <v>605</v>
      </c>
      <c r="U19" s="82">
        <v>28</v>
      </c>
      <c r="V19" s="82" t="s">
        <v>606</v>
      </c>
      <c r="W19" s="82">
        <v>24</v>
      </c>
      <c r="X19" s="82">
        <v>10</v>
      </c>
      <c r="Y19" s="82">
        <v>20</v>
      </c>
      <c r="Z19" s="81">
        <v>0</v>
      </c>
      <c r="AA19" s="81">
        <v>0</v>
      </c>
      <c r="AB19" s="81">
        <v>0</v>
      </c>
      <c r="AC19" s="81">
        <v>0</v>
      </c>
      <c r="AD19" s="81">
        <v>0</v>
      </c>
      <c r="AE19" s="81">
        <v>0</v>
      </c>
      <c r="AF19" s="81">
        <v>0</v>
      </c>
      <c r="AG19" s="81">
        <v>0</v>
      </c>
      <c r="AH19" s="81">
        <v>0</v>
      </c>
      <c r="AI19" s="81">
        <v>0</v>
      </c>
      <c r="AJ19" s="81">
        <v>0</v>
      </c>
      <c r="AK19" s="81">
        <v>0</v>
      </c>
      <c r="AL19" s="81">
        <v>0</v>
      </c>
      <c r="AM19" s="81">
        <v>0</v>
      </c>
      <c r="AN19" s="81">
        <v>0</v>
      </c>
      <c r="AO19" s="81">
        <v>0</v>
      </c>
      <c r="AP19" s="81">
        <v>0</v>
      </c>
      <c r="AQ19" s="81">
        <v>0</v>
      </c>
    </row>
    <row r="20" spans="1:43" ht="15" thickBot="1" x14ac:dyDescent="0.35">
      <c r="A20" s="89">
        <v>65</v>
      </c>
      <c r="B20" s="82" t="s">
        <v>607</v>
      </c>
      <c r="C20" s="82" t="s">
        <v>608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 t="s">
        <v>609</v>
      </c>
      <c r="S20" s="82">
        <v>37</v>
      </c>
      <c r="T20" s="82" t="s">
        <v>610</v>
      </c>
      <c r="U20" s="82">
        <v>33</v>
      </c>
      <c r="V20" s="82" t="s">
        <v>611</v>
      </c>
      <c r="W20" s="82">
        <v>29</v>
      </c>
      <c r="X20" s="82">
        <v>15</v>
      </c>
      <c r="Y20" s="82">
        <v>25</v>
      </c>
      <c r="Z20" s="82">
        <v>11</v>
      </c>
      <c r="AA20" s="82">
        <v>21</v>
      </c>
      <c r="AB20" s="81">
        <v>0</v>
      </c>
      <c r="AC20" s="81">
        <v>0</v>
      </c>
      <c r="AD20" s="81">
        <v>0</v>
      </c>
      <c r="AE20" s="81">
        <v>0</v>
      </c>
      <c r="AF20" s="81">
        <v>0</v>
      </c>
      <c r="AG20" s="81">
        <v>0</v>
      </c>
      <c r="AH20" s="81">
        <v>0</v>
      </c>
      <c r="AI20" s="81">
        <v>0</v>
      </c>
      <c r="AJ20" s="81">
        <v>0</v>
      </c>
      <c r="AK20" s="81">
        <v>0</v>
      </c>
      <c r="AL20" s="81">
        <v>0</v>
      </c>
      <c r="AM20" s="81">
        <v>0</v>
      </c>
      <c r="AN20" s="81">
        <v>0</v>
      </c>
      <c r="AO20" s="81">
        <v>0</v>
      </c>
      <c r="AP20" s="81">
        <v>0</v>
      </c>
      <c r="AQ20" s="81">
        <v>0</v>
      </c>
    </row>
    <row r="21" spans="1:43" ht="15" thickBot="1" x14ac:dyDescent="0.35">
      <c r="A21" s="89">
        <v>70</v>
      </c>
      <c r="B21" s="82" t="s">
        <v>612</v>
      </c>
      <c r="C21" s="82" t="s">
        <v>613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 t="s">
        <v>614</v>
      </c>
      <c r="S21" s="82">
        <v>42</v>
      </c>
      <c r="T21" s="82" t="s">
        <v>615</v>
      </c>
      <c r="U21" s="82">
        <v>38</v>
      </c>
      <c r="V21" s="82" t="s">
        <v>616</v>
      </c>
      <c r="W21" s="82">
        <v>34</v>
      </c>
      <c r="X21" s="82">
        <v>20</v>
      </c>
      <c r="Y21" s="82">
        <v>30</v>
      </c>
      <c r="Z21" s="82">
        <v>16</v>
      </c>
      <c r="AA21" s="82">
        <v>26</v>
      </c>
      <c r="AB21" s="81">
        <v>0</v>
      </c>
      <c r="AC21" s="81">
        <v>0</v>
      </c>
      <c r="AD21" s="81">
        <v>0</v>
      </c>
      <c r="AE21" s="81">
        <v>0</v>
      </c>
      <c r="AF21" s="81">
        <v>0</v>
      </c>
      <c r="AG21" s="81">
        <v>0</v>
      </c>
      <c r="AH21" s="81">
        <v>0</v>
      </c>
      <c r="AI21" s="81">
        <v>0</v>
      </c>
      <c r="AJ21" s="81">
        <v>0</v>
      </c>
      <c r="AK21" s="81">
        <v>0</v>
      </c>
      <c r="AL21" s="81">
        <v>0</v>
      </c>
      <c r="AM21" s="81">
        <v>0</v>
      </c>
      <c r="AN21" s="81">
        <v>0</v>
      </c>
      <c r="AO21" s="81">
        <v>0</v>
      </c>
      <c r="AP21" s="81">
        <v>0</v>
      </c>
      <c r="AQ21" s="81">
        <v>0</v>
      </c>
    </row>
    <row r="22" spans="1:43" ht="15" thickBot="1" x14ac:dyDescent="0.35">
      <c r="A22" s="89">
        <v>80</v>
      </c>
      <c r="B22" s="82" t="s">
        <v>617</v>
      </c>
      <c r="C22" s="82" t="s">
        <v>618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 t="s">
        <v>619</v>
      </c>
      <c r="S22" s="82">
        <v>52</v>
      </c>
      <c r="T22" s="82" t="s">
        <v>589</v>
      </c>
      <c r="U22" s="82">
        <v>48</v>
      </c>
      <c r="V22" s="82" t="s">
        <v>620</v>
      </c>
      <c r="W22" s="82">
        <v>44</v>
      </c>
      <c r="X22" s="82">
        <v>30</v>
      </c>
      <c r="Y22" s="82">
        <v>40</v>
      </c>
      <c r="Z22" s="82">
        <v>26</v>
      </c>
      <c r="AA22" s="82">
        <v>36</v>
      </c>
      <c r="AB22" s="82" t="s">
        <v>501</v>
      </c>
      <c r="AC22" s="82">
        <v>28</v>
      </c>
      <c r="AD22" s="81">
        <v>0</v>
      </c>
      <c r="AE22" s="81">
        <v>0</v>
      </c>
      <c r="AF22" s="81">
        <v>0</v>
      </c>
      <c r="AG22" s="81">
        <v>0</v>
      </c>
      <c r="AH22" s="81">
        <v>0</v>
      </c>
      <c r="AI22" s="81">
        <v>0</v>
      </c>
      <c r="AJ22" s="81">
        <v>0</v>
      </c>
      <c r="AK22" s="81">
        <v>0</v>
      </c>
      <c r="AL22" s="81">
        <v>0</v>
      </c>
      <c r="AM22" s="81">
        <v>0</v>
      </c>
      <c r="AN22" s="81">
        <v>0</v>
      </c>
      <c r="AO22" s="81">
        <v>0</v>
      </c>
      <c r="AP22" s="81">
        <v>0</v>
      </c>
      <c r="AQ22" s="81">
        <v>0</v>
      </c>
    </row>
    <row r="23" spans="1:43" ht="15" thickBot="1" x14ac:dyDescent="0.35">
      <c r="A23" s="89">
        <v>90</v>
      </c>
      <c r="B23" s="82" t="s">
        <v>621</v>
      </c>
      <c r="C23" s="82" t="s">
        <v>622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 t="s">
        <v>595</v>
      </c>
      <c r="U23" s="82">
        <v>58</v>
      </c>
      <c r="V23" s="82" t="s">
        <v>623</v>
      </c>
      <c r="W23" s="82">
        <v>54</v>
      </c>
      <c r="X23" s="82">
        <v>40</v>
      </c>
      <c r="Y23" s="82">
        <v>50</v>
      </c>
      <c r="Z23" s="82">
        <v>36</v>
      </c>
      <c r="AA23" s="82">
        <v>46</v>
      </c>
      <c r="AB23" s="82" t="s">
        <v>610</v>
      </c>
      <c r="AC23" s="82">
        <v>38</v>
      </c>
      <c r="AD23" s="82">
        <v>15</v>
      </c>
      <c r="AE23" s="82">
        <v>30</v>
      </c>
      <c r="AF23" s="81">
        <v>0</v>
      </c>
      <c r="AG23" s="81">
        <v>0</v>
      </c>
      <c r="AH23" s="81">
        <v>0</v>
      </c>
      <c r="AI23" s="81">
        <v>0</v>
      </c>
      <c r="AJ23" s="81">
        <v>0</v>
      </c>
      <c r="AK23" s="81">
        <v>0</v>
      </c>
      <c r="AL23" s="81">
        <v>0</v>
      </c>
      <c r="AM23" s="81">
        <v>0</v>
      </c>
      <c r="AN23" s="81">
        <v>0</v>
      </c>
      <c r="AO23" s="81">
        <v>0</v>
      </c>
      <c r="AP23" s="81">
        <v>0</v>
      </c>
      <c r="AQ23" s="81">
        <v>0</v>
      </c>
    </row>
    <row r="24" spans="1:43" ht="15" thickBot="1" x14ac:dyDescent="0.35">
      <c r="A24" s="89">
        <v>100</v>
      </c>
      <c r="B24" s="82" t="s">
        <v>624</v>
      </c>
      <c r="C24" s="82" t="s">
        <v>625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 t="s">
        <v>626</v>
      </c>
      <c r="U24" s="82">
        <v>68</v>
      </c>
      <c r="V24" s="82" t="s">
        <v>627</v>
      </c>
      <c r="W24" s="82">
        <v>64</v>
      </c>
      <c r="X24" s="82">
        <v>50</v>
      </c>
      <c r="Y24" s="82">
        <v>60</v>
      </c>
      <c r="Z24" s="82">
        <v>46</v>
      </c>
      <c r="AA24" s="82">
        <v>56</v>
      </c>
      <c r="AB24" s="82" t="s">
        <v>586</v>
      </c>
      <c r="AC24" s="82">
        <v>48</v>
      </c>
      <c r="AD24" s="82">
        <v>25</v>
      </c>
      <c r="AE24" s="82">
        <v>40</v>
      </c>
      <c r="AF24" s="81">
        <v>0</v>
      </c>
      <c r="AG24" s="81">
        <v>0</v>
      </c>
      <c r="AH24" s="81">
        <v>0</v>
      </c>
      <c r="AI24" s="81">
        <v>0</v>
      </c>
      <c r="AJ24" s="81">
        <v>0</v>
      </c>
      <c r="AK24" s="81">
        <v>0</v>
      </c>
      <c r="AL24" s="81">
        <v>0</v>
      </c>
      <c r="AM24" s="81">
        <v>0</v>
      </c>
      <c r="AN24" s="81">
        <v>0</v>
      </c>
      <c r="AO24" s="81">
        <v>0</v>
      </c>
      <c r="AP24" s="81">
        <v>0</v>
      </c>
      <c r="AQ24" s="81">
        <v>0</v>
      </c>
    </row>
    <row r="25" spans="1:43" ht="15" thickBot="1" x14ac:dyDescent="0.35">
      <c r="A25" s="89">
        <v>110</v>
      </c>
      <c r="B25" s="82" t="s">
        <v>628</v>
      </c>
      <c r="C25" s="82" t="s">
        <v>629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 t="s">
        <v>630</v>
      </c>
      <c r="W25" s="82">
        <v>74</v>
      </c>
      <c r="X25" s="82">
        <v>60</v>
      </c>
      <c r="Y25" s="82">
        <v>70</v>
      </c>
      <c r="Z25" s="82">
        <v>56</v>
      </c>
      <c r="AA25" s="82">
        <v>66</v>
      </c>
      <c r="AB25" s="82" t="s">
        <v>592</v>
      </c>
      <c r="AC25" s="82">
        <v>58</v>
      </c>
      <c r="AD25" s="82">
        <v>35</v>
      </c>
      <c r="AE25" s="82">
        <v>50</v>
      </c>
      <c r="AF25" s="82" t="s">
        <v>605</v>
      </c>
      <c r="AG25" s="82">
        <v>38</v>
      </c>
      <c r="AH25" s="81">
        <v>0</v>
      </c>
      <c r="AI25" s="81">
        <v>0</v>
      </c>
      <c r="AJ25" s="81">
        <v>0</v>
      </c>
      <c r="AK25" s="81">
        <v>0</v>
      </c>
      <c r="AL25" s="81">
        <v>0</v>
      </c>
      <c r="AM25" s="81">
        <v>0</v>
      </c>
      <c r="AN25" s="81">
        <v>0</v>
      </c>
      <c r="AO25" s="81">
        <v>0</v>
      </c>
      <c r="AP25" s="81">
        <v>0</v>
      </c>
      <c r="AQ25" s="81">
        <v>0</v>
      </c>
    </row>
    <row r="26" spans="1:43" ht="15" thickBot="1" x14ac:dyDescent="0.35">
      <c r="A26" s="89">
        <v>120</v>
      </c>
      <c r="B26" s="82" t="s">
        <v>631</v>
      </c>
      <c r="C26" s="82" t="s">
        <v>632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 t="s">
        <v>633</v>
      </c>
      <c r="W26" s="82">
        <v>84</v>
      </c>
      <c r="X26" s="82">
        <v>70</v>
      </c>
      <c r="Y26" s="82">
        <v>80</v>
      </c>
      <c r="Z26" s="82">
        <v>66</v>
      </c>
      <c r="AA26" s="82">
        <v>76</v>
      </c>
      <c r="AB26" s="82" t="s">
        <v>656</v>
      </c>
      <c r="AC26" s="82">
        <v>68</v>
      </c>
      <c r="AD26" s="82">
        <v>45</v>
      </c>
      <c r="AE26" s="82">
        <v>60</v>
      </c>
      <c r="AF26" s="82" t="s">
        <v>615</v>
      </c>
      <c r="AG26" s="82">
        <v>48</v>
      </c>
      <c r="AH26" s="82">
        <v>16</v>
      </c>
      <c r="AI26" s="82">
        <v>36</v>
      </c>
      <c r="AJ26" s="81">
        <v>0</v>
      </c>
      <c r="AK26" s="81">
        <v>0</v>
      </c>
      <c r="AL26" s="81">
        <v>0</v>
      </c>
      <c r="AM26" s="81">
        <v>0</v>
      </c>
      <c r="AN26" s="81">
        <v>0</v>
      </c>
      <c r="AO26" s="81">
        <v>0</v>
      </c>
      <c r="AP26" s="81">
        <v>0</v>
      </c>
      <c r="AQ26" s="81">
        <v>0</v>
      </c>
    </row>
    <row r="27" spans="1:43" ht="15" thickBot="1" x14ac:dyDescent="0.35">
      <c r="A27" s="89">
        <v>130</v>
      </c>
      <c r="B27" s="82" t="s">
        <v>634</v>
      </c>
      <c r="C27" s="82" t="s">
        <v>635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>
        <v>80</v>
      </c>
      <c r="Y27" s="82">
        <v>90</v>
      </c>
      <c r="Z27" s="82">
        <v>76</v>
      </c>
      <c r="AA27" s="82">
        <v>86</v>
      </c>
      <c r="AB27" s="82" t="s">
        <v>657</v>
      </c>
      <c r="AC27" s="82">
        <v>78</v>
      </c>
      <c r="AD27" s="82">
        <v>55</v>
      </c>
      <c r="AE27" s="82">
        <v>70</v>
      </c>
      <c r="AF27" s="82" t="s">
        <v>589</v>
      </c>
      <c r="AG27" s="82">
        <v>58</v>
      </c>
      <c r="AH27" s="82">
        <v>26</v>
      </c>
      <c r="AI27" s="82">
        <v>46</v>
      </c>
      <c r="AJ27" s="81">
        <v>0</v>
      </c>
      <c r="AK27" s="81">
        <v>0</v>
      </c>
      <c r="AL27" s="81">
        <v>0</v>
      </c>
      <c r="AM27" s="81">
        <v>0</v>
      </c>
      <c r="AN27" s="81">
        <v>0</v>
      </c>
      <c r="AO27" s="81">
        <v>0</v>
      </c>
      <c r="AP27" s="81">
        <v>0</v>
      </c>
      <c r="AQ27" s="81">
        <v>0</v>
      </c>
    </row>
    <row r="28" spans="1:43" ht="15" thickBot="1" x14ac:dyDescent="0.35">
      <c r="A28" s="89">
        <v>140</v>
      </c>
      <c r="B28" s="82" t="s">
        <v>636</v>
      </c>
      <c r="C28" s="82" t="s">
        <v>637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>
        <v>90</v>
      </c>
      <c r="Y28" s="82">
        <v>100</v>
      </c>
      <c r="Z28" s="82">
        <v>86</v>
      </c>
      <c r="AA28" s="82">
        <v>96</v>
      </c>
      <c r="AB28" s="82" t="s">
        <v>658</v>
      </c>
      <c r="AC28" s="82">
        <v>88</v>
      </c>
      <c r="AD28" s="82">
        <v>65</v>
      </c>
      <c r="AE28" s="82">
        <v>80</v>
      </c>
      <c r="AF28" s="82" t="s">
        <v>595</v>
      </c>
      <c r="AG28" s="82">
        <v>68</v>
      </c>
      <c r="AH28" s="82">
        <v>36</v>
      </c>
      <c r="AI28" s="82">
        <v>56</v>
      </c>
      <c r="AJ28" s="82" t="s">
        <v>659</v>
      </c>
      <c r="AK28" s="82">
        <v>44</v>
      </c>
      <c r="AL28" s="81">
        <v>0</v>
      </c>
      <c r="AM28" s="81">
        <v>0</v>
      </c>
      <c r="AN28" s="81">
        <v>0</v>
      </c>
      <c r="AO28" s="81">
        <v>0</v>
      </c>
      <c r="AP28" s="81">
        <v>0</v>
      </c>
      <c r="AQ28" s="81">
        <v>0</v>
      </c>
    </row>
    <row r="29" spans="1:43" ht="15" thickBot="1" x14ac:dyDescent="0.35">
      <c r="A29" s="89">
        <v>150</v>
      </c>
      <c r="B29" s="82" t="s">
        <v>638</v>
      </c>
      <c r="C29" s="82" t="s">
        <v>639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>
        <v>96</v>
      </c>
      <c r="AA29" s="82">
        <v>106</v>
      </c>
      <c r="AB29" s="82" t="s">
        <v>660</v>
      </c>
      <c r="AC29" s="82">
        <v>98</v>
      </c>
      <c r="AD29" s="82">
        <v>75</v>
      </c>
      <c r="AE29" s="82">
        <v>90</v>
      </c>
      <c r="AF29" s="82" t="s">
        <v>626</v>
      </c>
      <c r="AG29" s="82">
        <v>78</v>
      </c>
      <c r="AH29" s="82">
        <v>46</v>
      </c>
      <c r="AI29" s="82">
        <v>66</v>
      </c>
      <c r="AJ29" s="82" t="s">
        <v>661</v>
      </c>
      <c r="AK29" s="82">
        <v>54</v>
      </c>
      <c r="AL29" s="81">
        <v>0</v>
      </c>
      <c r="AM29" s="81">
        <v>0</v>
      </c>
      <c r="AN29" s="81">
        <v>0</v>
      </c>
      <c r="AO29" s="81">
        <v>0</v>
      </c>
      <c r="AP29" s="81">
        <v>0</v>
      </c>
      <c r="AQ29" s="81">
        <v>0</v>
      </c>
    </row>
    <row r="30" spans="1:43" ht="15" thickBot="1" x14ac:dyDescent="0.35">
      <c r="A30" s="89">
        <v>160</v>
      </c>
      <c r="B30" s="82" t="s">
        <v>640</v>
      </c>
      <c r="C30" s="82" t="s">
        <v>641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>
        <v>106</v>
      </c>
      <c r="AA30" s="82">
        <v>116</v>
      </c>
      <c r="AB30" s="82" t="s">
        <v>662</v>
      </c>
      <c r="AC30" s="82">
        <v>108</v>
      </c>
      <c r="AD30" s="82">
        <v>85</v>
      </c>
      <c r="AE30" s="82">
        <v>100</v>
      </c>
      <c r="AF30" s="82" t="s">
        <v>663</v>
      </c>
      <c r="AG30" s="82">
        <v>88</v>
      </c>
      <c r="AH30" s="82">
        <v>56</v>
      </c>
      <c r="AI30" s="82">
        <v>76</v>
      </c>
      <c r="AJ30" s="82" t="s">
        <v>664</v>
      </c>
      <c r="AK30" s="82">
        <v>64</v>
      </c>
      <c r="AL30" s="82">
        <v>27</v>
      </c>
      <c r="AM30" s="82">
        <v>52</v>
      </c>
      <c r="AN30" s="81">
        <v>0</v>
      </c>
      <c r="AO30" s="81">
        <v>0</v>
      </c>
      <c r="AP30" s="81">
        <v>0</v>
      </c>
      <c r="AQ30" s="81">
        <v>0</v>
      </c>
    </row>
    <row r="31" spans="1:43" ht="15" thickBot="1" x14ac:dyDescent="0.35">
      <c r="A31" s="89">
        <v>180</v>
      </c>
      <c r="B31" s="82" t="s">
        <v>642</v>
      </c>
      <c r="C31" s="82" t="s">
        <v>643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 t="s">
        <v>665</v>
      </c>
      <c r="AC31" s="82">
        <v>128</v>
      </c>
      <c r="AD31" s="82">
        <v>105</v>
      </c>
      <c r="AE31" s="82">
        <v>120</v>
      </c>
      <c r="AF31" s="82" t="s">
        <v>666</v>
      </c>
      <c r="AG31" s="82">
        <v>108</v>
      </c>
      <c r="AH31" s="82">
        <v>76</v>
      </c>
      <c r="AI31" s="82">
        <v>96</v>
      </c>
      <c r="AJ31" s="82" t="s">
        <v>667</v>
      </c>
      <c r="AK31" s="82">
        <v>84</v>
      </c>
      <c r="AL31" s="82">
        <v>47</v>
      </c>
      <c r="AM31" s="82">
        <v>72</v>
      </c>
      <c r="AN31" s="82" t="s">
        <v>668</v>
      </c>
      <c r="AO31" s="82">
        <v>56</v>
      </c>
      <c r="AP31" s="81">
        <v>0</v>
      </c>
      <c r="AQ31" s="81">
        <v>0</v>
      </c>
    </row>
    <row r="32" spans="1:43" ht="15" thickBot="1" x14ac:dyDescent="0.35">
      <c r="A32" s="89">
        <v>200</v>
      </c>
      <c r="B32" s="82" t="s">
        <v>644</v>
      </c>
      <c r="C32" s="82" t="s">
        <v>645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 t="s">
        <v>669</v>
      </c>
      <c r="AC32" s="82">
        <v>148</v>
      </c>
      <c r="AD32" s="82">
        <v>125</v>
      </c>
      <c r="AE32" s="82">
        <v>140</v>
      </c>
      <c r="AF32" s="82" t="s">
        <v>670</v>
      </c>
      <c r="AG32" s="82">
        <v>128</v>
      </c>
      <c r="AH32" s="82">
        <v>96</v>
      </c>
      <c r="AI32" s="82">
        <v>116</v>
      </c>
      <c r="AJ32" s="82" t="s">
        <v>671</v>
      </c>
      <c r="AK32" s="82">
        <v>104</v>
      </c>
      <c r="AL32" s="82">
        <v>67</v>
      </c>
      <c r="AM32" s="82">
        <v>92</v>
      </c>
      <c r="AN32" s="82" t="s">
        <v>672</v>
      </c>
      <c r="AO32" s="82">
        <v>76</v>
      </c>
      <c r="AP32" s="82">
        <v>30</v>
      </c>
      <c r="AQ32" s="82">
        <v>60</v>
      </c>
    </row>
    <row r="33" spans="1:43" ht="15" thickBot="1" x14ac:dyDescent="0.35">
      <c r="A33" s="89">
        <v>220</v>
      </c>
      <c r="B33" s="82" t="s">
        <v>646</v>
      </c>
      <c r="C33" s="82" t="s">
        <v>647</v>
      </c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 t="s">
        <v>673</v>
      </c>
      <c r="AK33" s="82">
        <v>124</v>
      </c>
      <c r="AL33" s="82">
        <v>87</v>
      </c>
      <c r="AM33" s="82">
        <v>112</v>
      </c>
      <c r="AN33" s="82" t="s">
        <v>674</v>
      </c>
      <c r="AO33" s="82">
        <v>96</v>
      </c>
      <c r="AP33" s="82">
        <v>50</v>
      </c>
      <c r="AQ33" s="82">
        <v>80</v>
      </c>
    </row>
    <row r="34" spans="1:43" ht="15" thickBot="1" x14ac:dyDescent="0.35">
      <c r="A34" s="89">
        <v>240</v>
      </c>
      <c r="B34" s="82" t="s">
        <v>648</v>
      </c>
      <c r="C34" s="82" t="s">
        <v>649</v>
      </c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 t="s">
        <v>675</v>
      </c>
      <c r="AK34" s="82">
        <v>155</v>
      </c>
      <c r="AL34" s="82">
        <v>107</v>
      </c>
      <c r="AM34" s="82">
        <v>132</v>
      </c>
      <c r="AN34" s="82" t="s">
        <v>676</v>
      </c>
      <c r="AO34" s="82">
        <v>116</v>
      </c>
      <c r="AP34" s="82">
        <v>70</v>
      </c>
      <c r="AQ34" s="82">
        <v>100</v>
      </c>
    </row>
    <row r="35" spans="1:43" ht="15" thickBot="1" x14ac:dyDescent="0.35">
      <c r="A35" s="89">
        <v>260</v>
      </c>
      <c r="B35" s="82" t="s">
        <v>650</v>
      </c>
      <c r="C35" s="82" t="s">
        <v>651</v>
      </c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 t="s">
        <v>677</v>
      </c>
      <c r="AK35" s="82">
        <v>164</v>
      </c>
      <c r="AL35" s="82">
        <v>127</v>
      </c>
      <c r="AM35" s="82">
        <v>152</v>
      </c>
      <c r="AN35" s="82" t="s">
        <v>678</v>
      </c>
      <c r="AO35" s="82">
        <v>136</v>
      </c>
      <c r="AP35" s="82">
        <v>90</v>
      </c>
      <c r="AQ35" s="82">
        <v>120</v>
      </c>
    </row>
    <row r="36" spans="1:43" ht="15" thickBot="1" x14ac:dyDescent="0.35">
      <c r="A36" s="89">
        <v>280</v>
      </c>
      <c r="B36" s="82" t="s">
        <v>652</v>
      </c>
      <c r="C36" s="82" t="s">
        <v>653</v>
      </c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 t="s">
        <v>679</v>
      </c>
      <c r="AK36" s="82">
        <v>184</v>
      </c>
      <c r="AL36" s="82">
        <v>147</v>
      </c>
      <c r="AM36" s="82">
        <v>172</v>
      </c>
      <c r="AN36" s="82" t="s">
        <v>680</v>
      </c>
      <c r="AO36" s="82">
        <v>156</v>
      </c>
      <c r="AP36" s="82">
        <v>110</v>
      </c>
      <c r="AQ36" s="82">
        <v>140</v>
      </c>
    </row>
    <row r="37" spans="1:43" x14ac:dyDescent="0.3">
      <c r="A37" s="94">
        <v>300</v>
      </c>
      <c r="B37" s="95" t="s">
        <v>654</v>
      </c>
      <c r="C37" s="95" t="s">
        <v>655</v>
      </c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 t="s">
        <v>681</v>
      </c>
      <c r="AK37" s="96">
        <v>204</v>
      </c>
      <c r="AL37" s="96">
        <v>167</v>
      </c>
      <c r="AM37" s="96">
        <v>192</v>
      </c>
      <c r="AN37" s="96" t="s">
        <v>682</v>
      </c>
      <c r="AO37" s="96">
        <v>176</v>
      </c>
      <c r="AP37" s="96">
        <v>130</v>
      </c>
      <c r="AQ37" s="96">
        <v>160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8FC8-EA11-4949-9C72-F5263A39C1DB}">
  <dimension ref="A1:AA116"/>
  <sheetViews>
    <sheetView topLeftCell="A56" zoomScale="70" zoomScaleNormal="70" workbookViewId="0">
      <selection activeCell="M5" sqref="M5"/>
    </sheetView>
  </sheetViews>
  <sheetFormatPr baseColWidth="10" defaultRowHeight="14.4" x14ac:dyDescent="0.3"/>
  <cols>
    <col min="1" max="1" width="7.109375" bestFit="1" customWidth="1"/>
    <col min="2" max="2" width="11.33203125" customWidth="1"/>
    <col min="3" max="3" width="11" customWidth="1"/>
    <col min="4" max="4" width="13.44140625" customWidth="1"/>
    <col min="5" max="5" width="10.5546875" customWidth="1"/>
    <col min="9" max="9" width="13.88671875" customWidth="1"/>
    <col min="10" max="10" width="14.44140625" customWidth="1"/>
    <col min="11" max="11" width="8.88671875" customWidth="1"/>
    <col min="13" max="13" width="12.88671875" customWidth="1"/>
    <col min="25" max="25" width="9.6640625" bestFit="1" customWidth="1"/>
    <col min="27" max="27" width="6.109375" bestFit="1" customWidth="1"/>
  </cols>
  <sheetData>
    <row r="1" spans="1:14" ht="28.8" x14ac:dyDescent="0.3">
      <c r="A1" s="57" t="s">
        <v>306</v>
      </c>
      <c r="B1" s="57" t="s">
        <v>342</v>
      </c>
      <c r="C1" s="56" t="s">
        <v>87</v>
      </c>
      <c r="D1" s="58" t="s">
        <v>299</v>
      </c>
      <c r="E1" s="58" t="s">
        <v>340</v>
      </c>
      <c r="F1" s="58" t="s">
        <v>300</v>
      </c>
      <c r="G1" s="58" t="s">
        <v>323</v>
      </c>
      <c r="H1" s="58" t="s">
        <v>324</v>
      </c>
      <c r="I1" s="58" t="s">
        <v>325</v>
      </c>
      <c r="J1" s="58" t="s">
        <v>326</v>
      </c>
      <c r="K1" s="58" t="s">
        <v>91</v>
      </c>
      <c r="L1" s="58" t="s">
        <v>327</v>
      </c>
      <c r="M1" s="59" t="s">
        <v>328</v>
      </c>
      <c r="N1" s="57" t="s">
        <v>26</v>
      </c>
    </row>
    <row r="2" spans="1:14" x14ac:dyDescent="0.3">
      <c r="A2" s="31">
        <v>2</v>
      </c>
      <c r="B2" s="31">
        <f>Tabla13[[#This Row],[Metrica]]/1000</f>
        <v>2E-3</v>
      </c>
      <c r="C2" s="31">
        <f>Helicoil!B2/1000</f>
        <v>4.0000000000000002E-4</v>
      </c>
      <c r="D2" s="65" t="s">
        <v>301</v>
      </c>
      <c r="E2" s="31">
        <f t="shared" ref="E2:E65" si="0">A2*1 /1000</f>
        <v>2E-3</v>
      </c>
      <c r="F2" s="31">
        <f>Helicoil!E2/1000</f>
        <v>2.8999999999999998E-3</v>
      </c>
      <c r="G2" s="31">
        <f>Helicoil!F2/1000</f>
        <v>2.5999999999999999E-3</v>
      </c>
      <c r="H2" s="31">
        <f>Helicoil!G2/1000</f>
        <v>2.8E-3</v>
      </c>
      <c r="I2" s="31">
        <f>Helicoil!H2/1000</f>
        <v>2.0899999999999998E-3</v>
      </c>
      <c r="J2" s="31">
        <f>Helicoil!I2/1000</f>
        <v>2.1800000000000001E-3</v>
      </c>
      <c r="K2" s="31">
        <f>Helicoil!J2/1000</f>
        <v>2.1000000000000003E-3</v>
      </c>
      <c r="L2" s="31">
        <f>Helicoil!K2/1000</f>
        <v>1.8E-3</v>
      </c>
      <c r="M2" s="31">
        <f>Helicoil!L2/1000</f>
        <v>2.5200000000000001E-3</v>
      </c>
      <c r="N2" s="31">
        <f>Tabla13[[#This Row],[Metrica]]/1000</f>
        <v>2E-3</v>
      </c>
    </row>
    <row r="3" spans="1:14" x14ac:dyDescent="0.3">
      <c r="A3" s="31">
        <v>2</v>
      </c>
      <c r="B3" s="31">
        <f>Tabla13[[#This Row],[Metrica]]/1000</f>
        <v>2E-3</v>
      </c>
      <c r="C3" s="31">
        <f>Helicoil!B3/1000</f>
        <v>4.0000000000000002E-4</v>
      </c>
      <c r="D3" s="61" t="s">
        <v>302</v>
      </c>
      <c r="E3" s="61">
        <f t="shared" si="0"/>
        <v>2E-3</v>
      </c>
      <c r="F3" s="61">
        <f>Helicoil!E3/1000</f>
        <v>4.9000000000000007E-3</v>
      </c>
      <c r="G3" s="61">
        <f>Helicoil!F3/1000</f>
        <v>2.5999999999999999E-3</v>
      </c>
      <c r="H3" s="61">
        <f>Helicoil!G3/1000</f>
        <v>2.8E-3</v>
      </c>
      <c r="I3" s="61">
        <f>Helicoil!H3/1000</f>
        <v>2.0899999999999998E-3</v>
      </c>
      <c r="J3" s="61">
        <f>Helicoil!I3/1000</f>
        <v>2.1800000000000001E-3</v>
      </c>
      <c r="K3" s="61">
        <f>Helicoil!J3/1000</f>
        <v>2.1000000000000003E-3</v>
      </c>
      <c r="L3" s="61">
        <f>Helicoil!K3/1000</f>
        <v>2.8E-3</v>
      </c>
      <c r="M3" s="61">
        <f>Helicoil!L3/1000</f>
        <v>2.5200000000000001E-3</v>
      </c>
      <c r="N3" s="31">
        <f>Tabla13[[#This Row],[Metrica]]/1000</f>
        <v>2E-3</v>
      </c>
    </row>
    <row r="4" spans="1:14" x14ac:dyDescent="0.3">
      <c r="A4" s="31">
        <v>2</v>
      </c>
      <c r="B4" s="31">
        <f>Tabla13[[#This Row],[Metrica]]/1000</f>
        <v>2E-3</v>
      </c>
      <c r="C4" s="31">
        <f>Helicoil!B4/1000</f>
        <v>4.0000000000000002E-4</v>
      </c>
      <c r="D4" s="61" t="s">
        <v>303</v>
      </c>
      <c r="E4" s="61">
        <f t="shared" si="0"/>
        <v>2E-3</v>
      </c>
      <c r="F4" s="61">
        <f>Helicoil!E4/1000</f>
        <v>6.9000000000000008E-3</v>
      </c>
      <c r="G4" s="61">
        <f>Helicoil!F4/1000</f>
        <v>2.5999999999999999E-3</v>
      </c>
      <c r="H4" s="61">
        <f>Helicoil!G4/1000</f>
        <v>2.8E-3</v>
      </c>
      <c r="I4" s="61">
        <f>Helicoil!H4/1000</f>
        <v>2.0899999999999998E-3</v>
      </c>
      <c r="J4" s="61">
        <f>Helicoil!I4/1000</f>
        <v>2.1800000000000001E-3</v>
      </c>
      <c r="K4" s="61">
        <f>Helicoil!J4/1000</f>
        <v>2.1000000000000003E-3</v>
      </c>
      <c r="L4" s="61">
        <f>Helicoil!K4/1000</f>
        <v>3.8E-3</v>
      </c>
      <c r="M4" s="61">
        <f>Helicoil!L4/1000</f>
        <v>2.5200000000000001E-3</v>
      </c>
      <c r="N4" s="31">
        <f>Tabla13[[#This Row],[Metrica]]/1000</f>
        <v>2E-3</v>
      </c>
    </row>
    <row r="5" spans="1:14" x14ac:dyDescent="0.3">
      <c r="A5" s="31">
        <v>2</v>
      </c>
      <c r="B5" s="31">
        <f>Tabla13[[#This Row],[Metrica]]/1000</f>
        <v>2E-3</v>
      </c>
      <c r="C5" s="31">
        <f>Helicoil!B5/1000</f>
        <v>4.0000000000000002E-4</v>
      </c>
      <c r="D5" s="61" t="s">
        <v>304</v>
      </c>
      <c r="E5" s="61">
        <f t="shared" si="0"/>
        <v>2E-3</v>
      </c>
      <c r="F5" s="61">
        <f>Helicoil!E5/1000</f>
        <v>8.8999999999999999E-3</v>
      </c>
      <c r="G5" s="61">
        <f>Helicoil!F5/1000</f>
        <v>2.5999999999999999E-3</v>
      </c>
      <c r="H5" s="61">
        <f>Helicoil!G5/1000</f>
        <v>2.8E-3</v>
      </c>
      <c r="I5" s="61">
        <f>Helicoil!H5/1000</f>
        <v>2.0899999999999998E-3</v>
      </c>
      <c r="J5" s="61">
        <f>Helicoil!I5/1000</f>
        <v>2.1800000000000001E-3</v>
      </c>
      <c r="K5" s="61">
        <f>Helicoil!J5/1000</f>
        <v>2.1000000000000003E-3</v>
      </c>
      <c r="L5" s="61">
        <f>Helicoil!K5/1000</f>
        <v>4.7999999999999996E-3</v>
      </c>
      <c r="M5" s="61">
        <f>Helicoil!L5/1000</f>
        <v>2.5200000000000001E-3</v>
      </c>
      <c r="N5" s="31">
        <f>Tabla13[[#This Row],[Metrica]]/1000</f>
        <v>2E-3</v>
      </c>
    </row>
    <row r="6" spans="1:14" ht="15" thickBot="1" x14ac:dyDescent="0.35">
      <c r="A6" s="62">
        <v>2</v>
      </c>
      <c r="B6" s="31">
        <f>Tabla13[[#This Row],[Metrica]]/1000</f>
        <v>2E-3</v>
      </c>
      <c r="C6" s="31">
        <f>Helicoil!B6/1000</f>
        <v>4.0000000000000002E-4</v>
      </c>
      <c r="D6" s="61" t="s">
        <v>305</v>
      </c>
      <c r="E6" s="61">
        <f t="shared" si="0"/>
        <v>2E-3</v>
      </c>
      <c r="F6" s="61">
        <f>Helicoil!E6/1000</f>
        <v>1.09E-2</v>
      </c>
      <c r="G6" s="61">
        <f>Helicoil!F6/1000</f>
        <v>2.5999999999999999E-3</v>
      </c>
      <c r="H6" s="61">
        <f>Helicoil!G6/1000</f>
        <v>2.8E-3</v>
      </c>
      <c r="I6" s="61">
        <f>Helicoil!H6/1000</f>
        <v>2.0899999999999998E-3</v>
      </c>
      <c r="J6" s="61">
        <f>Helicoil!I6/1000</f>
        <v>2.1800000000000001E-3</v>
      </c>
      <c r="K6" s="61">
        <f>Helicoil!J6/1000</f>
        <v>2.1000000000000003E-3</v>
      </c>
      <c r="L6" s="61">
        <f>Helicoil!K6/1000</f>
        <v>5.7999999999999996E-3</v>
      </c>
      <c r="M6" s="61">
        <f>Helicoil!L6/1000</f>
        <v>2.5200000000000001E-3</v>
      </c>
      <c r="N6" s="31">
        <f>Tabla13[[#This Row],[Metrica]]/1000</f>
        <v>2E-3</v>
      </c>
    </row>
    <row r="7" spans="1:14" x14ac:dyDescent="0.3">
      <c r="A7" s="31">
        <v>2.5</v>
      </c>
      <c r="B7" s="31">
        <f>Tabla13[[#This Row],[Metrica]]/1000</f>
        <v>2.5000000000000001E-3</v>
      </c>
      <c r="C7" s="31">
        <f>Helicoil!B7/1000</f>
        <v>4.4999999999999999E-4</v>
      </c>
      <c r="D7" s="61" t="s">
        <v>301</v>
      </c>
      <c r="E7" s="61">
        <f t="shared" si="0"/>
        <v>2.5000000000000001E-3</v>
      </c>
      <c r="F7" s="61">
        <f>Helicoil!E7/1000</f>
        <v>3.5000000000000001E-3</v>
      </c>
      <c r="G7" s="61">
        <f>Helicoil!F7/1000</f>
        <v>3.3E-3</v>
      </c>
      <c r="H7" s="61">
        <f>Helicoil!G7/1000</f>
        <v>3.5000000000000001E-3</v>
      </c>
      <c r="I7" s="61">
        <f>Helicoil!H7/1000</f>
        <v>2.5999999999999999E-3</v>
      </c>
      <c r="J7" s="61">
        <f>Helicoil!I7/1000</f>
        <v>2.7000000000000001E-3</v>
      </c>
      <c r="K7" s="61">
        <f>Helicoil!J7/1000</f>
        <v>2.5999999999999999E-3</v>
      </c>
      <c r="L7" s="61">
        <f>Helicoil!K7/1000</f>
        <v>2.3E-3</v>
      </c>
      <c r="M7" s="61">
        <f>Helicoil!L7/1000</f>
        <v>3.0800000000000003E-3</v>
      </c>
      <c r="N7" s="31">
        <f>Tabla13[[#This Row],[Metrica]]/1000</f>
        <v>2.5000000000000001E-3</v>
      </c>
    </row>
    <row r="8" spans="1:14" x14ac:dyDescent="0.3">
      <c r="A8" s="31">
        <v>2.5</v>
      </c>
      <c r="B8" s="31">
        <f>Tabla13[[#This Row],[Metrica]]/1000</f>
        <v>2.5000000000000001E-3</v>
      </c>
      <c r="C8" s="31">
        <f>Helicoil!B8/1000</f>
        <v>4.4999999999999999E-4</v>
      </c>
      <c r="D8" s="61" t="s">
        <v>302</v>
      </c>
      <c r="E8" s="61">
        <f t="shared" si="0"/>
        <v>2.5000000000000001E-3</v>
      </c>
      <c r="F8" s="61">
        <f>Helicoil!E8/1000</f>
        <v>5.9000000000000007E-3</v>
      </c>
      <c r="G8" s="61">
        <f>Helicoil!F8/1000</f>
        <v>3.3E-3</v>
      </c>
      <c r="H8" s="61">
        <f>Helicoil!G8/1000</f>
        <v>3.5000000000000001E-3</v>
      </c>
      <c r="I8" s="61">
        <f>Helicoil!H8/1000</f>
        <v>2.5999999999999999E-3</v>
      </c>
      <c r="J8" s="61">
        <f>Helicoil!I8/1000</f>
        <v>2.7000000000000001E-3</v>
      </c>
      <c r="K8" s="61">
        <f>Helicoil!J8/1000</f>
        <v>2.5999999999999999E-3</v>
      </c>
      <c r="L8" s="61">
        <f>Helicoil!K8/1000</f>
        <v>3.5000000000000001E-3</v>
      </c>
      <c r="M8" s="61">
        <f>Helicoil!L8/1000</f>
        <v>3.0800000000000003E-3</v>
      </c>
      <c r="N8" s="31">
        <f>Tabla13[[#This Row],[Metrica]]/1000</f>
        <v>2.5000000000000001E-3</v>
      </c>
    </row>
    <row r="9" spans="1:14" x14ac:dyDescent="0.3">
      <c r="A9" s="31">
        <v>2.5</v>
      </c>
      <c r="B9" s="31">
        <f>Tabla13[[#This Row],[Metrica]]/1000</f>
        <v>2.5000000000000001E-3</v>
      </c>
      <c r="C9" s="31">
        <f>Helicoil!B9/1000</f>
        <v>4.4999999999999999E-4</v>
      </c>
      <c r="D9" s="61" t="s">
        <v>303</v>
      </c>
      <c r="E9" s="61">
        <f t="shared" si="0"/>
        <v>2.5000000000000001E-3</v>
      </c>
      <c r="F9" s="61">
        <f>Helicoil!E9/1000</f>
        <v>8.0999999999999996E-3</v>
      </c>
      <c r="G9" s="61">
        <f>Helicoil!F9/1000</f>
        <v>3.3E-3</v>
      </c>
      <c r="H9" s="61">
        <f>Helicoil!G9/1000</f>
        <v>3.5000000000000001E-3</v>
      </c>
      <c r="I9" s="61">
        <f>Helicoil!H9/1000</f>
        <v>2.5999999999999999E-3</v>
      </c>
      <c r="J9" s="61">
        <f>Helicoil!I9/1000</f>
        <v>2.7000000000000001E-3</v>
      </c>
      <c r="K9" s="61">
        <f>Helicoil!J9/1000</f>
        <v>2.5999999999999999E-3</v>
      </c>
      <c r="L9" s="61">
        <f>Helicoil!K9/1000</f>
        <v>4.7999999999999996E-3</v>
      </c>
      <c r="M9" s="61">
        <f>Helicoil!L9/1000</f>
        <v>3.0800000000000003E-3</v>
      </c>
      <c r="N9" s="31">
        <f>Tabla13[[#This Row],[Metrica]]/1000</f>
        <v>2.5000000000000001E-3</v>
      </c>
    </row>
    <row r="10" spans="1:14" x14ac:dyDescent="0.3">
      <c r="A10" s="31">
        <v>2.5</v>
      </c>
      <c r="B10" s="31">
        <f>Tabla13[[#This Row],[Metrica]]/1000</f>
        <v>2.5000000000000001E-3</v>
      </c>
      <c r="C10" s="31">
        <f>Helicoil!B10/1000</f>
        <v>4.4999999999999999E-4</v>
      </c>
      <c r="D10" s="61" t="s">
        <v>304</v>
      </c>
      <c r="E10" s="61">
        <f t="shared" si="0"/>
        <v>2.5000000000000001E-3</v>
      </c>
      <c r="F10" s="61">
        <f>Helicoil!E10/1000</f>
        <v>1.0500000000000001E-2</v>
      </c>
      <c r="G10" s="61">
        <f>Helicoil!F10/1000</f>
        <v>3.3E-3</v>
      </c>
      <c r="H10" s="61">
        <f>Helicoil!G10/1000</f>
        <v>3.5000000000000001E-3</v>
      </c>
      <c r="I10" s="61">
        <f>Helicoil!H10/1000</f>
        <v>2.5999999999999999E-3</v>
      </c>
      <c r="J10" s="61">
        <f>Helicoil!I10/1000</f>
        <v>2.7000000000000001E-3</v>
      </c>
      <c r="K10" s="61">
        <f>Helicoil!J10/1000</f>
        <v>2.5999999999999999E-3</v>
      </c>
      <c r="L10" s="61">
        <f>Helicoil!K10/1000</f>
        <v>6.0000000000000001E-3</v>
      </c>
      <c r="M10" s="61">
        <f>Helicoil!L10/1000</f>
        <v>3.0800000000000003E-3</v>
      </c>
      <c r="N10" s="31">
        <f>Tabla13[[#This Row],[Metrica]]/1000</f>
        <v>2.5000000000000001E-3</v>
      </c>
    </row>
    <row r="11" spans="1:14" ht="15" thickBot="1" x14ac:dyDescent="0.35">
      <c r="A11" s="62">
        <v>2.5</v>
      </c>
      <c r="B11" s="31">
        <f>Tabla13[[#This Row],[Metrica]]/1000</f>
        <v>2.5000000000000001E-3</v>
      </c>
      <c r="C11" s="31">
        <f>Helicoil!B11/1000</f>
        <v>4.4999999999999999E-4</v>
      </c>
      <c r="D11" s="61" t="s">
        <v>305</v>
      </c>
      <c r="E11" s="61">
        <f t="shared" si="0"/>
        <v>2.5000000000000001E-3</v>
      </c>
      <c r="F11" s="61">
        <f>Helicoil!E11/1000</f>
        <v>1.29E-2</v>
      </c>
      <c r="G11" s="61">
        <f>Helicoil!F11/1000</f>
        <v>3.3E-3</v>
      </c>
      <c r="H11" s="61">
        <f>Helicoil!G11/1000</f>
        <v>3.5000000000000001E-3</v>
      </c>
      <c r="I11" s="61">
        <f>Helicoil!H11/1000</f>
        <v>2.5999999999999999E-3</v>
      </c>
      <c r="J11" s="61">
        <f>Helicoil!I11/1000</f>
        <v>2.7000000000000001E-3</v>
      </c>
      <c r="K11" s="61">
        <f>Helicoil!J11/1000</f>
        <v>2.5999999999999999E-3</v>
      </c>
      <c r="L11" s="61">
        <f>Helicoil!K11/1000</f>
        <v>7.3000000000000001E-3</v>
      </c>
      <c r="M11" s="61">
        <f>Helicoil!L11/1000</f>
        <v>3.0800000000000003E-3</v>
      </c>
      <c r="N11" s="31">
        <f>Tabla13[[#This Row],[Metrica]]/1000</f>
        <v>2.5000000000000001E-3</v>
      </c>
    </row>
    <row r="12" spans="1:14" x14ac:dyDescent="0.3">
      <c r="A12" s="31">
        <v>3</v>
      </c>
      <c r="B12" s="31">
        <f>Tabla13[[#This Row],[Metrica]]/1000</f>
        <v>3.0000000000000001E-3</v>
      </c>
      <c r="C12" s="31">
        <f>Helicoil!B12/1000</f>
        <v>5.0000000000000001E-4</v>
      </c>
      <c r="D12" s="61" t="s">
        <v>301</v>
      </c>
      <c r="E12" s="61">
        <f t="shared" si="0"/>
        <v>3.0000000000000001E-3</v>
      </c>
      <c r="F12" s="61">
        <f>Helicoil!E12/1000</f>
        <v>3.8999999999999998E-3</v>
      </c>
      <c r="G12" s="61">
        <f>Helicoil!F12/1000</f>
        <v>3.8E-3</v>
      </c>
      <c r="H12" s="61">
        <f>Helicoil!G12/1000</f>
        <v>4.0000000000000001E-3</v>
      </c>
      <c r="I12" s="61">
        <f>Helicoil!H12/1000</f>
        <v>3.1099999999999999E-3</v>
      </c>
      <c r="J12" s="61">
        <f>Helicoil!I12/1000</f>
        <v>3.2200000000000002E-3</v>
      </c>
      <c r="K12" s="61">
        <f>Helicoil!J12/1000</f>
        <v>3.2000000000000002E-3</v>
      </c>
      <c r="L12" s="61">
        <f>Helicoil!K12/1000</f>
        <v>2.7000000000000001E-3</v>
      </c>
      <c r="M12" s="61">
        <f>Helicoil!L12/1000</f>
        <v>3.65E-3</v>
      </c>
      <c r="N12" s="31">
        <f>Tabla13[[#This Row],[Metrica]]/1000</f>
        <v>3.0000000000000001E-3</v>
      </c>
    </row>
    <row r="13" spans="1:14" x14ac:dyDescent="0.3">
      <c r="A13" s="31">
        <v>3</v>
      </c>
      <c r="B13" s="31">
        <f>Tabla13[[#This Row],[Metrica]]/1000</f>
        <v>3.0000000000000001E-3</v>
      </c>
      <c r="C13" s="31">
        <f>Helicoil!B13/1000</f>
        <v>5.0000000000000001E-4</v>
      </c>
      <c r="D13" s="61" t="s">
        <v>302</v>
      </c>
      <c r="E13" s="61">
        <f t="shared" si="0"/>
        <v>3.0000000000000001E-3</v>
      </c>
      <c r="F13" s="61">
        <f>Helicoil!E13/1000</f>
        <v>6.3E-3</v>
      </c>
      <c r="G13" s="61">
        <f>Helicoil!F13/1000</f>
        <v>3.8E-3</v>
      </c>
      <c r="H13" s="61">
        <f>Helicoil!G13/1000</f>
        <v>4.0000000000000001E-3</v>
      </c>
      <c r="I13" s="61">
        <f>Helicoil!H13/1000</f>
        <v>3.1099999999999999E-3</v>
      </c>
      <c r="J13" s="61">
        <f>Helicoil!I13/1000</f>
        <v>3.2200000000000002E-3</v>
      </c>
      <c r="K13" s="61">
        <f>Helicoil!J13/1000</f>
        <v>3.2000000000000002E-3</v>
      </c>
      <c r="L13" s="61">
        <f>Helicoil!K13/1000</f>
        <v>4.2000000000000006E-3</v>
      </c>
      <c r="M13" s="61">
        <f>Helicoil!L13/1000</f>
        <v>3.65E-3</v>
      </c>
      <c r="N13" s="31">
        <f>Tabla13[[#This Row],[Metrica]]/1000</f>
        <v>3.0000000000000001E-3</v>
      </c>
    </row>
    <row r="14" spans="1:14" x14ac:dyDescent="0.3">
      <c r="A14" s="31">
        <v>3</v>
      </c>
      <c r="B14" s="31">
        <f>Tabla13[[#This Row],[Metrica]]/1000</f>
        <v>3.0000000000000001E-3</v>
      </c>
      <c r="C14" s="31">
        <f>Helicoil!B14/1000</f>
        <v>5.0000000000000001E-4</v>
      </c>
      <c r="D14" s="61" t="s">
        <v>303</v>
      </c>
      <c r="E14" s="61">
        <f t="shared" si="0"/>
        <v>3.0000000000000001E-3</v>
      </c>
      <c r="F14" s="61">
        <f>Helicoil!E14/1000</f>
        <v>8.6999999999999994E-3</v>
      </c>
      <c r="G14" s="61">
        <f>Helicoil!F14/1000</f>
        <v>3.8E-3</v>
      </c>
      <c r="H14" s="61">
        <f>Helicoil!G14/1000</f>
        <v>4.0000000000000001E-3</v>
      </c>
      <c r="I14" s="61">
        <f>Helicoil!H14/1000</f>
        <v>3.1099999999999999E-3</v>
      </c>
      <c r="J14" s="61">
        <f>Helicoil!I14/1000</f>
        <v>3.2200000000000002E-3</v>
      </c>
      <c r="K14" s="61">
        <f>Helicoil!J14/1000</f>
        <v>3.2000000000000002E-3</v>
      </c>
      <c r="L14" s="61">
        <f>Helicoil!K14/1000</f>
        <v>5.7000000000000002E-3</v>
      </c>
      <c r="M14" s="61">
        <f>Helicoil!L14/1000</f>
        <v>3.65E-3</v>
      </c>
      <c r="N14" s="31">
        <f>Tabla13[[#This Row],[Metrica]]/1000</f>
        <v>3.0000000000000001E-3</v>
      </c>
    </row>
    <row r="15" spans="1:14" x14ac:dyDescent="0.3">
      <c r="A15" s="31">
        <v>3</v>
      </c>
      <c r="B15" s="31">
        <f>Tabla13[[#This Row],[Metrica]]/1000</f>
        <v>3.0000000000000001E-3</v>
      </c>
      <c r="C15" s="31">
        <f>Helicoil!B15/1000</f>
        <v>5.0000000000000001E-4</v>
      </c>
      <c r="D15" s="61" t="s">
        <v>304</v>
      </c>
      <c r="E15" s="61">
        <f t="shared" si="0"/>
        <v>3.0000000000000001E-3</v>
      </c>
      <c r="F15" s="61">
        <f>Helicoil!E15/1000</f>
        <v>1.11E-2</v>
      </c>
      <c r="G15" s="61">
        <f>Helicoil!F15/1000</f>
        <v>3.8E-3</v>
      </c>
      <c r="H15" s="61">
        <f>Helicoil!G15/1000</f>
        <v>4.0000000000000001E-3</v>
      </c>
      <c r="I15" s="61">
        <f>Helicoil!H15/1000</f>
        <v>3.1099999999999999E-3</v>
      </c>
      <c r="J15" s="61">
        <f>Helicoil!I15/1000</f>
        <v>3.2200000000000002E-3</v>
      </c>
      <c r="K15" s="61">
        <f>Helicoil!J15/1000</f>
        <v>3.2000000000000002E-3</v>
      </c>
      <c r="L15" s="61">
        <f>Helicoil!K15/1000</f>
        <v>7.1999999999999998E-3</v>
      </c>
      <c r="M15" s="61">
        <f>Helicoil!L15/1000</f>
        <v>3.65E-3</v>
      </c>
      <c r="N15" s="31">
        <f>Tabla13[[#This Row],[Metrica]]/1000</f>
        <v>3.0000000000000001E-3</v>
      </c>
    </row>
    <row r="16" spans="1:14" ht="15" thickBot="1" x14ac:dyDescent="0.35">
      <c r="A16" s="62">
        <v>3</v>
      </c>
      <c r="B16" s="31">
        <f>Tabla13[[#This Row],[Metrica]]/1000</f>
        <v>3.0000000000000001E-3</v>
      </c>
      <c r="C16" s="31">
        <f>Helicoil!B16/1000</f>
        <v>5.0000000000000001E-4</v>
      </c>
      <c r="D16" s="61" t="s">
        <v>305</v>
      </c>
      <c r="E16" s="61">
        <f t="shared" si="0"/>
        <v>3.0000000000000001E-3</v>
      </c>
      <c r="F16" s="61">
        <f>Helicoil!E16/1000</f>
        <v>1.35E-2</v>
      </c>
      <c r="G16" s="61">
        <f>Helicoil!F16/1000</f>
        <v>3.8E-3</v>
      </c>
      <c r="H16" s="61">
        <f>Helicoil!G16/1000</f>
        <v>4.0000000000000001E-3</v>
      </c>
      <c r="I16" s="61">
        <f>Helicoil!H16/1000</f>
        <v>3.1099999999999999E-3</v>
      </c>
      <c r="J16" s="61">
        <f>Helicoil!I16/1000</f>
        <v>3.2200000000000002E-3</v>
      </c>
      <c r="K16" s="61">
        <f>Helicoil!J16/1000</f>
        <v>3.2000000000000002E-3</v>
      </c>
      <c r="L16" s="61">
        <f>Helicoil!K16/1000</f>
        <v>8.6999999999999994E-3</v>
      </c>
      <c r="M16" s="61">
        <f>Helicoil!L16/1000</f>
        <v>3.65E-3</v>
      </c>
      <c r="N16" s="31">
        <f>Tabla13[[#This Row],[Metrica]]/1000</f>
        <v>3.0000000000000001E-3</v>
      </c>
    </row>
    <row r="17" spans="1:25" x14ac:dyDescent="0.3">
      <c r="A17" s="31">
        <v>3.5</v>
      </c>
      <c r="B17" s="31">
        <f>Tabla13[[#This Row],[Metrica]]/1000</f>
        <v>3.5000000000000001E-3</v>
      </c>
      <c r="C17" s="31">
        <f>Helicoil!B17/1000</f>
        <v>5.9999999999999995E-4</v>
      </c>
      <c r="D17" s="61" t="s">
        <v>301</v>
      </c>
      <c r="E17" s="61">
        <f t="shared" si="0"/>
        <v>3.5000000000000001E-3</v>
      </c>
      <c r="F17" s="61">
        <f>Helicoil!E17/1000</f>
        <v>3.7000000000000002E-3</v>
      </c>
      <c r="G17" s="61">
        <f>Helicoil!F17/1000</f>
        <v>4.4200000000000003E-3</v>
      </c>
      <c r="H17" s="61">
        <f>Helicoil!G17/1000</f>
        <v>4.5999999999999999E-3</v>
      </c>
      <c r="I17" s="61">
        <f>Helicoil!H17/1000</f>
        <v>3.63E-3</v>
      </c>
      <c r="J17" s="61">
        <f>Helicoil!I17/1000</f>
        <v>3.7599999999999999E-3</v>
      </c>
      <c r="K17" s="61">
        <f>Helicoil!J17/1000</f>
        <v>3.7000000000000002E-3</v>
      </c>
      <c r="L17" s="61">
        <f>Helicoil!K17/1000</f>
        <v>3.2000000000000002E-3</v>
      </c>
      <c r="M17" s="61">
        <f>Helicoil!L17/1000</f>
        <v>4.28E-3</v>
      </c>
      <c r="N17" s="31">
        <f>Tabla13[[#This Row],[Metrica]]/1000</f>
        <v>3.5000000000000001E-3</v>
      </c>
    </row>
    <row r="18" spans="1:25" x14ac:dyDescent="0.3">
      <c r="A18" s="31">
        <v>3.5</v>
      </c>
      <c r="B18" s="31">
        <f>Tabla13[[#This Row],[Metrica]]/1000</f>
        <v>3.5000000000000001E-3</v>
      </c>
      <c r="C18" s="31">
        <f>Helicoil!B18/1000</f>
        <v>5.9999999999999995E-4</v>
      </c>
      <c r="D18" s="61" t="s">
        <v>302</v>
      </c>
      <c r="E18" s="61">
        <f t="shared" si="0"/>
        <v>3.5000000000000001E-3</v>
      </c>
      <c r="F18" s="61">
        <f>Helicoil!E18/1000</f>
        <v>6.3E-3</v>
      </c>
      <c r="G18" s="61">
        <f>Helicoil!F18/1000</f>
        <v>4.4200000000000003E-3</v>
      </c>
      <c r="H18" s="61">
        <f>Helicoil!G18/1000</f>
        <v>4.5999999999999999E-3</v>
      </c>
      <c r="I18" s="61">
        <f>Helicoil!H18/1000</f>
        <v>3.63E-3</v>
      </c>
      <c r="J18" s="61">
        <f>Helicoil!I18/1000</f>
        <v>3.7599999999999999E-3</v>
      </c>
      <c r="K18" s="61">
        <f>Helicoil!J18/1000</f>
        <v>3.7000000000000002E-3</v>
      </c>
      <c r="L18" s="61">
        <f>Helicoil!K18/1000</f>
        <v>5.0000000000000001E-3</v>
      </c>
      <c r="M18" s="61">
        <f>Helicoil!L18/1000</f>
        <v>4.28E-3</v>
      </c>
      <c r="N18" s="31">
        <f>Tabla13[[#This Row],[Metrica]]/1000</f>
        <v>3.5000000000000001E-3</v>
      </c>
    </row>
    <row r="19" spans="1:25" x14ac:dyDescent="0.3">
      <c r="A19" s="31">
        <v>3.5</v>
      </c>
      <c r="B19" s="31">
        <f>Tabla13[[#This Row],[Metrica]]/1000</f>
        <v>3.5000000000000001E-3</v>
      </c>
      <c r="C19" s="31">
        <f>Helicoil!B19/1000</f>
        <v>5.9999999999999995E-4</v>
      </c>
      <c r="D19" s="61" t="s">
        <v>303</v>
      </c>
      <c r="E19" s="61">
        <f t="shared" si="0"/>
        <v>3.5000000000000001E-3</v>
      </c>
      <c r="F19" s="61">
        <f>Helicoil!E19/1000</f>
        <v>8.6999999999999994E-3</v>
      </c>
      <c r="G19" s="61">
        <f>Helicoil!F19/1000</f>
        <v>4.4200000000000003E-3</v>
      </c>
      <c r="H19" s="61">
        <f>Helicoil!G19/1000</f>
        <v>4.5999999999999999E-3</v>
      </c>
      <c r="I19" s="61">
        <f>Helicoil!H19/1000</f>
        <v>3.63E-3</v>
      </c>
      <c r="J19" s="61">
        <f>Helicoil!I19/1000</f>
        <v>3.7599999999999999E-3</v>
      </c>
      <c r="K19" s="61">
        <f>Helicoil!J19/1000</f>
        <v>3.7000000000000002E-3</v>
      </c>
      <c r="L19" s="61">
        <f>Helicoil!K19/1000</f>
        <v>6.7000000000000002E-3</v>
      </c>
      <c r="M19" s="61">
        <f>Helicoil!L19/1000</f>
        <v>4.28E-3</v>
      </c>
      <c r="N19" s="31">
        <f>Tabla13[[#This Row],[Metrica]]/1000</f>
        <v>3.5000000000000001E-3</v>
      </c>
    </row>
    <row r="20" spans="1:25" x14ac:dyDescent="0.3">
      <c r="A20" s="31">
        <v>3.5</v>
      </c>
      <c r="B20" s="31">
        <f>Tabla13[[#This Row],[Metrica]]/1000</f>
        <v>3.5000000000000001E-3</v>
      </c>
      <c r="C20" s="31">
        <f>Helicoil!B20/1000</f>
        <v>5.9999999999999995E-4</v>
      </c>
      <c r="D20" s="61" t="s">
        <v>304</v>
      </c>
      <c r="E20" s="61">
        <f t="shared" si="0"/>
        <v>3.5000000000000001E-3</v>
      </c>
      <c r="F20" s="61">
        <f>Helicoil!E20/1000</f>
        <v>1.12E-2</v>
      </c>
      <c r="G20" s="61">
        <f>Helicoil!F20/1000</f>
        <v>4.4200000000000003E-3</v>
      </c>
      <c r="H20" s="61">
        <f>Helicoil!G20/1000</f>
        <v>4.5999999999999999E-3</v>
      </c>
      <c r="I20" s="61">
        <f>Helicoil!H20/1000</f>
        <v>3.63E-3</v>
      </c>
      <c r="J20" s="61">
        <f>Helicoil!I20/1000</f>
        <v>3.7599999999999999E-3</v>
      </c>
      <c r="K20" s="61">
        <f>Helicoil!J20/1000</f>
        <v>3.7000000000000002E-3</v>
      </c>
      <c r="L20" s="61">
        <f>Helicoil!K20/1000</f>
        <v>8.5000000000000006E-3</v>
      </c>
      <c r="M20" s="61">
        <f>Helicoil!L20/1000</f>
        <v>4.28E-3</v>
      </c>
      <c r="N20" s="31">
        <f>Tabla13[[#This Row],[Metrica]]/1000</f>
        <v>3.5000000000000001E-3</v>
      </c>
    </row>
    <row r="21" spans="1:25" ht="15" thickBot="1" x14ac:dyDescent="0.35">
      <c r="A21" s="62">
        <v>3.5</v>
      </c>
      <c r="B21" s="31">
        <f>Tabla13[[#This Row],[Metrica]]/1000</f>
        <v>3.5000000000000001E-3</v>
      </c>
      <c r="C21" s="31">
        <f>Helicoil!B21/1000</f>
        <v>5.9999999999999995E-4</v>
      </c>
      <c r="D21" s="61" t="s">
        <v>305</v>
      </c>
      <c r="E21" s="61">
        <f t="shared" si="0"/>
        <v>3.5000000000000001E-3</v>
      </c>
      <c r="F21" s="61">
        <f>Helicoil!E21/1000</f>
        <v>1.3300000000000001E-2</v>
      </c>
      <c r="G21" s="61">
        <f>Helicoil!F21/1000</f>
        <v>4.4200000000000003E-3</v>
      </c>
      <c r="H21" s="61">
        <f>Helicoil!G21/1000</f>
        <v>4.5999999999999999E-3</v>
      </c>
      <c r="I21" s="61">
        <f>Helicoil!H21/1000</f>
        <v>3.63E-3</v>
      </c>
      <c r="J21" s="61">
        <f>Helicoil!I21/1000</f>
        <v>3.7599999999999999E-3</v>
      </c>
      <c r="K21" s="61">
        <f>Helicoil!J21/1000</f>
        <v>3.7000000000000002E-3</v>
      </c>
      <c r="L21" s="61">
        <f>Helicoil!K21/1000</f>
        <v>1.0199999999999999E-2</v>
      </c>
      <c r="M21" s="61">
        <f>Helicoil!L21/1000</f>
        <v>4.28E-3</v>
      </c>
      <c r="N21" s="31">
        <f>Tabla13[[#This Row],[Metrica]]/1000</f>
        <v>3.5000000000000001E-3</v>
      </c>
    </row>
    <row r="22" spans="1:25" x14ac:dyDescent="0.3">
      <c r="A22" s="31">
        <v>4</v>
      </c>
      <c r="B22" s="31">
        <f>Tabla13[[#This Row],[Metrica]]/1000</f>
        <v>4.0000000000000001E-3</v>
      </c>
      <c r="C22" s="31">
        <f>Helicoil!B22/1000</f>
        <v>6.9999999999999999E-4</v>
      </c>
      <c r="D22" s="61" t="s">
        <v>301</v>
      </c>
      <c r="E22" s="61">
        <f t="shared" si="0"/>
        <v>4.0000000000000001E-3</v>
      </c>
      <c r="F22" s="61">
        <f>Helicoil!E22/1000</f>
        <v>3.7000000000000002E-3</v>
      </c>
      <c r="G22" s="61">
        <f>Helicoil!F22/1000</f>
        <v>5.0499999999999998E-3</v>
      </c>
      <c r="H22" s="61">
        <f>Helicoil!G22/1000</f>
        <v>5.2500000000000003E-3</v>
      </c>
      <c r="I22" s="61">
        <f>Helicoil!H22/1000</f>
        <v>4.15E-3</v>
      </c>
      <c r="J22" s="61">
        <f>Helicoil!I22/1000</f>
        <v>4.2900000000000004E-3</v>
      </c>
      <c r="K22" s="61">
        <f>Helicoil!J22/1000</f>
        <v>4.2000000000000006E-3</v>
      </c>
      <c r="L22" s="61">
        <f>Helicoil!K22/1000</f>
        <v>3.5999999999999999E-3</v>
      </c>
      <c r="M22" s="61">
        <f>Helicoil!L22/1000</f>
        <v>4.9100000000000003E-3</v>
      </c>
      <c r="N22" s="31">
        <f>Tabla13[[#This Row],[Metrica]]/1000</f>
        <v>4.0000000000000001E-3</v>
      </c>
    </row>
    <row r="23" spans="1:25" x14ac:dyDescent="0.3">
      <c r="A23" s="31">
        <v>4</v>
      </c>
      <c r="B23" s="31">
        <f>Tabla13[[#This Row],[Metrica]]/1000</f>
        <v>4.0000000000000001E-3</v>
      </c>
      <c r="C23" s="31">
        <f>Helicoil!B23/1000</f>
        <v>6.9999999999999999E-4</v>
      </c>
      <c r="D23" s="61" t="s">
        <v>302</v>
      </c>
      <c r="E23" s="61">
        <f t="shared" si="0"/>
        <v>4.0000000000000001E-3</v>
      </c>
      <c r="F23" s="61">
        <f>Helicoil!E23/1000</f>
        <v>6.0999999999999995E-3</v>
      </c>
      <c r="G23" s="61">
        <f>Helicoil!F23/1000</f>
        <v>5.0499999999999998E-3</v>
      </c>
      <c r="H23" s="61">
        <f>Helicoil!G23/1000</f>
        <v>5.2500000000000003E-3</v>
      </c>
      <c r="I23" s="61">
        <f>Helicoil!H23/1000</f>
        <v>4.15E-3</v>
      </c>
      <c r="J23" s="61">
        <f>Helicoil!I23/1000</f>
        <v>4.2900000000000004E-3</v>
      </c>
      <c r="K23" s="61">
        <f>Helicoil!J23/1000</f>
        <v>4.2000000000000006E-3</v>
      </c>
      <c r="L23" s="61">
        <f>Helicoil!K23/1000</f>
        <v>5.5999999999999999E-3</v>
      </c>
      <c r="M23" s="61">
        <f>Helicoil!L23/1000</f>
        <v>4.9100000000000003E-3</v>
      </c>
      <c r="N23" s="31">
        <f>Tabla13[[#This Row],[Metrica]]/1000</f>
        <v>4.0000000000000001E-3</v>
      </c>
    </row>
    <row r="24" spans="1:25" x14ac:dyDescent="0.3">
      <c r="A24" s="31">
        <v>4</v>
      </c>
      <c r="B24" s="31">
        <f>Tabla13[[#This Row],[Metrica]]/1000</f>
        <v>4.0000000000000001E-3</v>
      </c>
      <c r="C24" s="31">
        <f>Helicoil!B24/1000</f>
        <v>6.9999999999999999E-4</v>
      </c>
      <c r="D24" s="61" t="s">
        <v>303</v>
      </c>
      <c r="E24" s="61">
        <f t="shared" si="0"/>
        <v>4.0000000000000001E-3</v>
      </c>
      <c r="F24" s="61">
        <f>Helicoil!E24/1000</f>
        <v>8.4000000000000012E-3</v>
      </c>
      <c r="G24" s="61">
        <f>Helicoil!F24/1000</f>
        <v>5.0499999999999998E-3</v>
      </c>
      <c r="H24" s="61">
        <f>Helicoil!G24/1000</f>
        <v>5.2500000000000003E-3</v>
      </c>
      <c r="I24" s="61">
        <f>Helicoil!H24/1000</f>
        <v>4.15E-3</v>
      </c>
      <c r="J24" s="61">
        <f>Helicoil!I24/1000</f>
        <v>4.2900000000000004E-3</v>
      </c>
      <c r="K24" s="61">
        <f>Helicoil!J24/1000</f>
        <v>4.2000000000000006E-3</v>
      </c>
      <c r="L24" s="61">
        <f>Helicoil!K24/1000</f>
        <v>7.6E-3</v>
      </c>
      <c r="M24" s="61">
        <f>Helicoil!L24/1000</f>
        <v>4.9100000000000003E-3</v>
      </c>
      <c r="N24" s="31">
        <f>Tabla13[[#This Row],[Metrica]]/1000</f>
        <v>4.0000000000000001E-3</v>
      </c>
    </row>
    <row r="25" spans="1:25" x14ac:dyDescent="0.3">
      <c r="A25" s="31">
        <v>4</v>
      </c>
      <c r="B25" s="31">
        <f>Tabla13[[#This Row],[Metrica]]/1000</f>
        <v>4.0000000000000001E-3</v>
      </c>
      <c r="C25" s="31">
        <f>Helicoil!B25/1000</f>
        <v>6.9999999999999999E-4</v>
      </c>
      <c r="D25" s="61" t="s">
        <v>304</v>
      </c>
      <c r="E25" s="61">
        <f t="shared" si="0"/>
        <v>4.0000000000000001E-3</v>
      </c>
      <c r="F25" s="61">
        <f>Helicoil!E25/1000</f>
        <v>1.09E-2</v>
      </c>
      <c r="G25" s="61">
        <f>Helicoil!F25/1000</f>
        <v>5.0499999999999998E-3</v>
      </c>
      <c r="H25" s="61">
        <f>Helicoil!G25/1000</f>
        <v>5.2500000000000003E-3</v>
      </c>
      <c r="I25" s="61">
        <f>Helicoil!H25/1000</f>
        <v>4.15E-3</v>
      </c>
      <c r="J25" s="61">
        <f>Helicoil!I25/1000</f>
        <v>4.2900000000000004E-3</v>
      </c>
      <c r="K25" s="61">
        <f>Helicoil!J25/1000</f>
        <v>4.2000000000000006E-3</v>
      </c>
      <c r="L25" s="61">
        <f>Helicoil!K25/1000</f>
        <v>9.5999999999999992E-3</v>
      </c>
      <c r="M25" s="61">
        <f>Helicoil!L25/1000</f>
        <v>4.9100000000000003E-3</v>
      </c>
      <c r="N25" s="31">
        <f>Tabla13[[#This Row],[Metrica]]/1000</f>
        <v>4.0000000000000001E-3</v>
      </c>
    </row>
    <row r="26" spans="1:25" ht="15" thickBot="1" x14ac:dyDescent="0.35">
      <c r="A26" s="62">
        <v>4</v>
      </c>
      <c r="B26" s="31">
        <f>Tabla13[[#This Row],[Metrica]]/1000</f>
        <v>4.0000000000000001E-3</v>
      </c>
      <c r="C26" s="31">
        <f>Helicoil!B26/1000</f>
        <v>6.9999999999999999E-4</v>
      </c>
      <c r="D26" s="61" t="s">
        <v>305</v>
      </c>
      <c r="E26" s="61">
        <f t="shared" si="0"/>
        <v>4.0000000000000001E-3</v>
      </c>
      <c r="F26" s="61">
        <f>Helicoil!E26/1000</f>
        <v>1.32E-2</v>
      </c>
      <c r="G26" s="61">
        <f>Helicoil!F26/1000</f>
        <v>5.0499999999999998E-3</v>
      </c>
      <c r="H26" s="61">
        <f>Helicoil!G26/1000</f>
        <v>5.2500000000000003E-3</v>
      </c>
      <c r="I26" s="61">
        <f>Helicoil!H26/1000</f>
        <v>4.15E-3</v>
      </c>
      <c r="J26" s="61">
        <f>Helicoil!I26/1000</f>
        <v>4.2900000000000004E-3</v>
      </c>
      <c r="K26" s="61">
        <f>Helicoil!J26/1000</f>
        <v>4.2000000000000006E-3</v>
      </c>
      <c r="L26" s="61">
        <f>Helicoil!K26/1000</f>
        <v>1.1599999999999999E-2</v>
      </c>
      <c r="M26" s="61">
        <f>Helicoil!L26/1000</f>
        <v>4.9100000000000003E-3</v>
      </c>
      <c r="N26" s="31">
        <f>Tabla13[[#This Row],[Metrica]]/1000</f>
        <v>4.0000000000000001E-3</v>
      </c>
    </row>
    <row r="27" spans="1:25" x14ac:dyDescent="0.3">
      <c r="A27" s="31">
        <v>5</v>
      </c>
      <c r="B27" s="31">
        <f>Tabla13[[#This Row],[Metrica]]/1000</f>
        <v>5.0000000000000001E-3</v>
      </c>
      <c r="C27" s="31">
        <f>Helicoil!B27/1000</f>
        <v>8.0000000000000004E-4</v>
      </c>
      <c r="D27" s="61" t="s">
        <v>301</v>
      </c>
      <c r="E27" s="61">
        <f t="shared" si="0"/>
        <v>5.0000000000000001E-3</v>
      </c>
      <c r="F27" s="61">
        <f>Helicoil!E27/1000</f>
        <v>4.3E-3</v>
      </c>
      <c r="G27" s="61">
        <f>Helicoil!F27/1000</f>
        <v>6.3499999999999997E-3</v>
      </c>
      <c r="H27" s="61">
        <f>Helicoil!G27/1000</f>
        <v>6.6E-3</v>
      </c>
      <c r="I27" s="61">
        <f>Helicoil!H27/1000</f>
        <v>5.1700000000000001E-3</v>
      </c>
      <c r="J27" s="61">
        <f>Helicoil!I27/1000</f>
        <v>5.3299999999999997E-3</v>
      </c>
      <c r="K27" s="61">
        <f>Helicoil!J27/1000</f>
        <v>5.1999999999999998E-3</v>
      </c>
      <c r="L27" s="61">
        <f>Helicoil!K27/1000</f>
        <v>4.5999999999999999E-3</v>
      </c>
      <c r="M27" s="61">
        <f>Helicoil!L27/1000</f>
        <v>6.0400000000000002E-3</v>
      </c>
      <c r="N27" s="31">
        <f>Tabla13[[#This Row],[Metrica]]/1000</f>
        <v>5.0000000000000001E-3</v>
      </c>
    </row>
    <row r="28" spans="1:25" x14ac:dyDescent="0.3">
      <c r="A28" s="31">
        <v>5</v>
      </c>
      <c r="B28" s="31">
        <f>Tabla13[[#This Row],[Metrica]]/1000</f>
        <v>5.0000000000000001E-3</v>
      </c>
      <c r="C28" s="31">
        <f>Helicoil!B28/1000</f>
        <v>8.0000000000000004E-4</v>
      </c>
      <c r="D28" s="61" t="s">
        <v>302</v>
      </c>
      <c r="E28" s="61">
        <f t="shared" si="0"/>
        <v>5.0000000000000001E-3</v>
      </c>
      <c r="F28" s="61">
        <f>Helicoil!E28/1000</f>
        <v>6.9000000000000008E-3</v>
      </c>
      <c r="G28" s="61">
        <f>Helicoil!F28/1000</f>
        <v>6.3499999999999997E-3</v>
      </c>
      <c r="H28" s="61">
        <f>Helicoil!G28/1000</f>
        <v>6.6E-3</v>
      </c>
      <c r="I28" s="61">
        <f>Helicoil!H28/1000</f>
        <v>5.1700000000000001E-3</v>
      </c>
      <c r="J28" s="61">
        <f>Helicoil!I28/1000</f>
        <v>5.3299999999999997E-3</v>
      </c>
      <c r="K28" s="61">
        <f>Helicoil!J28/1000</f>
        <v>5.1999999999999998E-3</v>
      </c>
      <c r="L28" s="61">
        <f>Helicoil!K28/1000</f>
        <v>7.0999999999999995E-3</v>
      </c>
      <c r="M28" s="61">
        <f>Helicoil!L28/1000</f>
        <v>6.0400000000000002E-3</v>
      </c>
      <c r="N28" s="31">
        <f>Tabla13[[#This Row],[Metrica]]/1000</f>
        <v>5.0000000000000001E-3</v>
      </c>
    </row>
    <row r="29" spans="1:25" x14ac:dyDescent="0.3">
      <c r="A29" s="31">
        <v>5</v>
      </c>
      <c r="B29" s="31">
        <f>Tabla13[[#This Row],[Metrica]]/1000</f>
        <v>5.0000000000000001E-3</v>
      </c>
      <c r="C29" s="31">
        <f>Helicoil!B29/1000</f>
        <v>8.0000000000000004E-4</v>
      </c>
      <c r="D29" s="61" t="s">
        <v>303</v>
      </c>
      <c r="E29" s="61">
        <f t="shared" si="0"/>
        <v>5.0000000000000001E-3</v>
      </c>
      <c r="F29" s="61">
        <f>Helicoil!E29/1000</f>
        <v>9.6999999999999986E-3</v>
      </c>
      <c r="G29" s="61">
        <f>Helicoil!F29/1000</f>
        <v>6.3499999999999997E-3</v>
      </c>
      <c r="H29" s="61">
        <f>Helicoil!G29/1000</f>
        <v>6.6E-3</v>
      </c>
      <c r="I29" s="61">
        <f>Helicoil!H29/1000</f>
        <v>5.1700000000000001E-3</v>
      </c>
      <c r="J29" s="61">
        <f>Helicoil!I29/1000</f>
        <v>5.3299999999999997E-3</v>
      </c>
      <c r="K29" s="61">
        <f>Helicoil!J29/1000</f>
        <v>5.1999999999999998E-3</v>
      </c>
      <c r="L29" s="61">
        <f>Helicoil!K29/1000</f>
        <v>9.5999999999999992E-3</v>
      </c>
      <c r="M29" s="61">
        <f>Helicoil!L29/1000</f>
        <v>6.0400000000000002E-3</v>
      </c>
      <c r="N29" s="31">
        <f>Tabla13[[#This Row],[Metrica]]/1000</f>
        <v>5.0000000000000001E-3</v>
      </c>
    </row>
    <row r="30" spans="1:25" x14ac:dyDescent="0.3">
      <c r="A30" s="31">
        <v>5</v>
      </c>
      <c r="B30" s="31">
        <f>Tabla13[[#This Row],[Metrica]]/1000</f>
        <v>5.0000000000000001E-3</v>
      </c>
      <c r="C30" s="31">
        <f>Helicoil!B30/1000</f>
        <v>8.0000000000000004E-4</v>
      </c>
      <c r="D30" s="61" t="s">
        <v>304</v>
      </c>
      <c r="E30" s="61">
        <f t="shared" si="0"/>
        <v>5.0000000000000001E-3</v>
      </c>
      <c r="F30" s="61">
        <f>Helicoil!E30/1000</f>
        <v>1.23E-2</v>
      </c>
      <c r="G30" s="61">
        <f>Helicoil!F30/1000</f>
        <v>6.3499999999999997E-3</v>
      </c>
      <c r="H30" s="61">
        <f>Helicoil!G30/1000</f>
        <v>6.6E-3</v>
      </c>
      <c r="I30" s="61">
        <f>Helicoil!H30/1000</f>
        <v>5.1700000000000001E-3</v>
      </c>
      <c r="J30" s="61">
        <f>Helicoil!I30/1000</f>
        <v>5.3299999999999997E-3</v>
      </c>
      <c r="K30" s="61">
        <f>Helicoil!J30/1000</f>
        <v>5.1999999999999998E-3</v>
      </c>
      <c r="L30" s="61">
        <f>Helicoil!K30/1000</f>
        <v>1.21E-2</v>
      </c>
      <c r="M30" s="61">
        <f>Helicoil!L30/1000</f>
        <v>6.0400000000000002E-3</v>
      </c>
      <c r="N30" s="31">
        <f>Tabla13[[#This Row],[Metrica]]/1000</f>
        <v>5.0000000000000001E-3</v>
      </c>
    </row>
    <row r="31" spans="1:25" ht="15" thickBot="1" x14ac:dyDescent="0.35">
      <c r="A31" s="62">
        <v>5</v>
      </c>
      <c r="B31" s="31">
        <f>Tabla13[[#This Row],[Metrica]]/1000</f>
        <v>5.0000000000000001E-3</v>
      </c>
      <c r="C31" s="31">
        <f>Helicoil!B31/1000</f>
        <v>8.0000000000000004E-4</v>
      </c>
      <c r="D31" s="61" t="s">
        <v>305</v>
      </c>
      <c r="E31" s="61">
        <f t="shared" si="0"/>
        <v>5.0000000000000001E-3</v>
      </c>
      <c r="F31" s="61">
        <f>Helicoil!E31/1000</f>
        <v>1.4800000000000001E-2</v>
      </c>
      <c r="G31" s="61">
        <f>Helicoil!F31/1000</f>
        <v>6.3499999999999997E-3</v>
      </c>
      <c r="H31" s="61">
        <f>Helicoil!G31/1000</f>
        <v>6.6E-3</v>
      </c>
      <c r="I31" s="61">
        <f>Helicoil!H31/1000</f>
        <v>5.1700000000000001E-3</v>
      </c>
      <c r="J31" s="61">
        <f>Helicoil!I31/1000</f>
        <v>5.3299999999999997E-3</v>
      </c>
      <c r="K31" s="61">
        <f>Helicoil!J31/1000</f>
        <v>5.1999999999999998E-3</v>
      </c>
      <c r="L31" s="61">
        <f>Helicoil!K31/1000</f>
        <v>1.46E-2</v>
      </c>
      <c r="M31" s="61">
        <f>Helicoil!L31/1000</f>
        <v>6.0400000000000002E-3</v>
      </c>
      <c r="N31" s="31">
        <f>Tabla13[[#This Row],[Metrica]]/1000</f>
        <v>5.0000000000000001E-3</v>
      </c>
    </row>
    <row r="32" spans="1:25" x14ac:dyDescent="0.3">
      <c r="A32" s="31">
        <v>6</v>
      </c>
      <c r="B32" s="31">
        <f>Tabla13[[#This Row],[Metrica]]/1000</f>
        <v>6.0000000000000001E-3</v>
      </c>
      <c r="C32" s="31">
        <f>Helicoil!B32/1000</f>
        <v>1E-3</v>
      </c>
      <c r="D32" s="61" t="s">
        <v>301</v>
      </c>
      <c r="E32" s="61">
        <f t="shared" si="0"/>
        <v>6.0000000000000001E-3</v>
      </c>
      <c r="F32" s="61">
        <f>Helicoil!E32/1000</f>
        <v>4.2000000000000006E-3</v>
      </c>
      <c r="G32" s="61">
        <f>Helicoil!F32/1000</f>
        <v>7.6E-3</v>
      </c>
      <c r="H32" s="61">
        <f>Helicoil!G32/1000</f>
        <v>7.8499999999999993E-3</v>
      </c>
      <c r="I32" s="61">
        <f>Helicoil!H32/1000</f>
        <v>6.2199999999999998E-3</v>
      </c>
      <c r="J32" s="61">
        <f>Helicoil!I32/1000</f>
        <v>6.4099999999999999E-3</v>
      </c>
      <c r="K32" s="61">
        <f>Helicoil!J32/1000</f>
        <v>6.3E-3</v>
      </c>
      <c r="L32" s="61">
        <f>Helicoil!K32/1000</f>
        <v>5.4999999999999997E-3</v>
      </c>
      <c r="M32" s="61">
        <f>Helicoil!L32/1000</f>
        <v>7.3000000000000001E-3</v>
      </c>
      <c r="N32" s="31">
        <f>Tabla13[[#This Row],[Metrica]]/1000</f>
        <v>6.0000000000000001E-3</v>
      </c>
      <c r="Y32">
        <v>4.2</v>
      </c>
    </row>
    <row r="33" spans="1:25" x14ac:dyDescent="0.3">
      <c r="A33" s="31">
        <v>6</v>
      </c>
      <c r="B33" s="31">
        <f>Tabla13[[#This Row],[Metrica]]/1000</f>
        <v>6.0000000000000001E-3</v>
      </c>
      <c r="C33" s="31">
        <f>Helicoil!B33/1000</f>
        <v>1E-3</v>
      </c>
      <c r="D33" s="61" t="s">
        <v>302</v>
      </c>
      <c r="E33" s="61">
        <f t="shared" si="0"/>
        <v>6.0000000000000001E-3</v>
      </c>
      <c r="F33" s="61">
        <f>Helicoil!E33/1000</f>
        <v>6.9000000000000008E-3</v>
      </c>
      <c r="G33" s="61">
        <f>Helicoil!F33/1000</f>
        <v>7.6E-3</v>
      </c>
      <c r="H33" s="61">
        <f>Helicoil!G33/1000</f>
        <v>7.8499999999999993E-3</v>
      </c>
      <c r="I33" s="61">
        <f>Helicoil!H33/1000</f>
        <v>6.2199999999999998E-3</v>
      </c>
      <c r="J33" s="61">
        <f>Helicoil!I33/1000</f>
        <v>6.4099999999999999E-3</v>
      </c>
      <c r="K33" s="61">
        <f>Helicoil!J33/1000</f>
        <v>6.3E-3</v>
      </c>
      <c r="L33" s="61">
        <f>Helicoil!K33/1000</f>
        <v>8.5000000000000006E-3</v>
      </c>
      <c r="M33" s="61">
        <f>Helicoil!L33/1000</f>
        <v>7.3000000000000001E-3</v>
      </c>
      <c r="N33" s="31">
        <f>Tabla13[[#This Row],[Metrica]]/1000</f>
        <v>6.0000000000000001E-3</v>
      </c>
      <c r="Y33">
        <v>6.9</v>
      </c>
    </row>
    <row r="34" spans="1:25" x14ac:dyDescent="0.3">
      <c r="A34" s="31">
        <v>6</v>
      </c>
      <c r="B34" s="31">
        <f>Tabla13[[#This Row],[Metrica]]/1000</f>
        <v>6.0000000000000001E-3</v>
      </c>
      <c r="C34" s="31">
        <f>Helicoil!B34/1000</f>
        <v>1E-3</v>
      </c>
      <c r="D34" s="61" t="s">
        <v>303</v>
      </c>
      <c r="E34" s="61">
        <f t="shared" si="0"/>
        <v>6.0000000000000001E-3</v>
      </c>
      <c r="F34" s="61">
        <f>Helicoil!E34/1000</f>
        <v>9.5999999999999992E-3</v>
      </c>
      <c r="G34" s="61">
        <f>Helicoil!F34/1000</f>
        <v>7.6E-3</v>
      </c>
      <c r="H34" s="61">
        <f>Helicoil!G34/1000</f>
        <v>7.8499999999999993E-3</v>
      </c>
      <c r="I34" s="61">
        <f>Helicoil!H34/1000</f>
        <v>6.2199999999999998E-3</v>
      </c>
      <c r="J34" s="61">
        <f>Helicoil!I34/1000</f>
        <v>6.4099999999999999E-3</v>
      </c>
      <c r="K34" s="61">
        <f>Helicoil!J34/1000</f>
        <v>6.3E-3</v>
      </c>
      <c r="L34" s="61">
        <f>Helicoil!K34/1000</f>
        <v>1.15E-2</v>
      </c>
      <c r="M34" s="61">
        <f>Helicoil!L34/1000</f>
        <v>7.3000000000000001E-3</v>
      </c>
      <c r="N34" s="31">
        <f>Tabla13[[#This Row],[Metrica]]/1000</f>
        <v>6.0000000000000001E-3</v>
      </c>
      <c r="Y34">
        <v>9.6</v>
      </c>
    </row>
    <row r="35" spans="1:25" x14ac:dyDescent="0.3">
      <c r="A35" s="31">
        <v>6</v>
      </c>
      <c r="B35" s="31">
        <f>Tabla13[[#This Row],[Metrica]]/1000</f>
        <v>6.0000000000000001E-3</v>
      </c>
      <c r="C35" s="31">
        <f>Helicoil!B35/1000</f>
        <v>1E-3</v>
      </c>
      <c r="D35" s="61" t="s">
        <v>304</v>
      </c>
      <c r="E35" s="61">
        <f t="shared" si="0"/>
        <v>6.0000000000000001E-3</v>
      </c>
      <c r="F35" s="61">
        <f>Helicoil!E35/1000</f>
        <v>1.23E-2</v>
      </c>
      <c r="G35" s="61">
        <f>Helicoil!F35/1000</f>
        <v>7.6E-3</v>
      </c>
      <c r="H35" s="61">
        <f>Helicoil!G35/1000</f>
        <v>7.8499999999999993E-3</v>
      </c>
      <c r="I35" s="61">
        <f>Helicoil!H35/1000</f>
        <v>6.2199999999999998E-3</v>
      </c>
      <c r="J35" s="61">
        <f>Helicoil!I35/1000</f>
        <v>6.4099999999999999E-3</v>
      </c>
      <c r="K35" s="61">
        <f>Helicoil!J35/1000</f>
        <v>6.3E-3</v>
      </c>
      <c r="L35" s="61">
        <f>Helicoil!K35/1000</f>
        <v>1.4500000000000001E-2</v>
      </c>
      <c r="M35" s="61">
        <f>Helicoil!L35/1000</f>
        <v>7.3000000000000001E-3</v>
      </c>
      <c r="N35" s="31">
        <f>Tabla13[[#This Row],[Metrica]]/1000</f>
        <v>6.0000000000000001E-3</v>
      </c>
      <c r="Y35">
        <v>12.3</v>
      </c>
    </row>
    <row r="36" spans="1:25" ht="15" thickBot="1" x14ac:dyDescent="0.35">
      <c r="A36" s="62">
        <v>6</v>
      </c>
      <c r="B36" s="31">
        <f>Tabla13[[#This Row],[Metrica]]/1000</f>
        <v>6.0000000000000001E-3</v>
      </c>
      <c r="C36" s="31">
        <f>Helicoil!B36/1000</f>
        <v>1E-3</v>
      </c>
      <c r="D36" s="61" t="s">
        <v>305</v>
      </c>
      <c r="E36" s="61">
        <f t="shared" si="0"/>
        <v>6.0000000000000001E-3</v>
      </c>
      <c r="F36" s="61">
        <f>Helicoil!E36/1000</f>
        <v>1.46E-2</v>
      </c>
      <c r="G36" s="61">
        <f>Helicoil!F36/1000</f>
        <v>7.6E-3</v>
      </c>
      <c r="H36" s="61">
        <f>Helicoil!G36/1000</f>
        <v>7.8499999999999993E-3</v>
      </c>
      <c r="I36" s="61">
        <f>Helicoil!H36/1000</f>
        <v>6.2199999999999998E-3</v>
      </c>
      <c r="J36" s="61">
        <f>Helicoil!I36/1000</f>
        <v>6.4099999999999999E-3</v>
      </c>
      <c r="K36" s="61">
        <f>Helicoil!J36/1000</f>
        <v>6.3E-3</v>
      </c>
      <c r="L36" s="61">
        <f>Helicoil!K36/1000</f>
        <v>1.7500000000000002E-2</v>
      </c>
      <c r="M36" s="61">
        <f>Helicoil!L36/1000</f>
        <v>7.3000000000000001E-3</v>
      </c>
      <c r="N36" s="31">
        <f>Tabla13[[#This Row],[Metrica]]/1000</f>
        <v>6.0000000000000001E-3</v>
      </c>
      <c r="Y36">
        <v>14.6</v>
      </c>
    </row>
    <row r="37" spans="1:25" x14ac:dyDescent="0.3">
      <c r="A37" s="31">
        <v>7</v>
      </c>
      <c r="B37" s="31">
        <f>Tabla13[[#This Row],[Metrica]]/1000</f>
        <v>7.0000000000000001E-3</v>
      </c>
      <c r="C37" s="31">
        <f>Helicoil!B37/1000</f>
        <v>1E-3</v>
      </c>
      <c r="D37" s="61" t="s">
        <v>301</v>
      </c>
      <c r="E37" s="61">
        <f t="shared" si="0"/>
        <v>7.0000000000000001E-3</v>
      </c>
      <c r="F37" s="61">
        <f>Helicoil!E37/1000</f>
        <v>5.3E-3</v>
      </c>
      <c r="G37" s="61">
        <f>Helicoil!F37/1000</f>
        <v>8.6499999999999997E-3</v>
      </c>
      <c r="H37" s="61">
        <f>Helicoil!G37/1000</f>
        <v>8.8999999999999999E-3</v>
      </c>
      <c r="I37" s="61">
        <f>Helicoil!H37/1000</f>
        <v>7.2199999999999999E-3</v>
      </c>
      <c r="J37" s="61">
        <f>Helicoil!I37/1000</f>
        <v>7.4099999999999999E-3</v>
      </c>
      <c r="K37" s="61">
        <f>Helicoil!J37/1000</f>
        <v>7.3000000000000001E-3</v>
      </c>
      <c r="L37" s="61">
        <f>Helicoil!K37/1000</f>
        <v>6.4999999999999997E-3</v>
      </c>
      <c r="M37" s="61">
        <f>Helicoil!L37/1000</f>
        <v>8.3000000000000001E-3</v>
      </c>
      <c r="N37" s="31">
        <f>Tabla13[[#This Row],[Metrica]]/1000</f>
        <v>7.0000000000000001E-3</v>
      </c>
      <c r="Y37">
        <v>5.3</v>
      </c>
    </row>
    <row r="38" spans="1:25" x14ac:dyDescent="0.3">
      <c r="A38" s="31">
        <v>7</v>
      </c>
      <c r="B38" s="31">
        <f>Tabla13[[#This Row],[Metrica]]/1000</f>
        <v>7.0000000000000001E-3</v>
      </c>
      <c r="C38" s="31">
        <f>Helicoil!B38/1000</f>
        <v>1E-3</v>
      </c>
      <c r="D38" s="61" t="s">
        <v>302</v>
      </c>
      <c r="E38" s="61">
        <f t="shared" si="0"/>
        <v>7.0000000000000001E-3</v>
      </c>
      <c r="F38" s="61">
        <f>Helicoil!E38/1000</f>
        <v>8.199999999999999E-3</v>
      </c>
      <c r="G38" s="61">
        <f>Helicoil!F38/1000</f>
        <v>8.6499999999999997E-3</v>
      </c>
      <c r="H38" s="61">
        <f>Helicoil!G38/1000</f>
        <v>8.8999999999999999E-3</v>
      </c>
      <c r="I38" s="61">
        <f>Helicoil!H38/1000</f>
        <v>7.2199999999999999E-3</v>
      </c>
      <c r="J38" s="61">
        <f>Helicoil!I38/1000</f>
        <v>7.4099999999999999E-3</v>
      </c>
      <c r="K38" s="61">
        <f>Helicoil!J38/1000</f>
        <v>7.3000000000000001E-3</v>
      </c>
      <c r="L38" s="61">
        <f>Helicoil!K38/1000</f>
        <v>0.01</v>
      </c>
      <c r="M38" s="61">
        <f>Helicoil!L38/1000</f>
        <v>8.3000000000000001E-3</v>
      </c>
      <c r="N38" s="31">
        <f>Tabla13[[#This Row],[Metrica]]/1000</f>
        <v>7.0000000000000001E-3</v>
      </c>
      <c r="Y38">
        <v>8.1999999999999993</v>
      </c>
    </row>
    <row r="39" spans="1:25" x14ac:dyDescent="0.3">
      <c r="A39" s="31">
        <v>7</v>
      </c>
      <c r="B39" s="31">
        <f>Tabla13[[#This Row],[Metrica]]/1000</f>
        <v>7.0000000000000001E-3</v>
      </c>
      <c r="C39" s="31">
        <f>Helicoil!B39/1000</f>
        <v>1E-3</v>
      </c>
      <c r="D39" s="61" t="s">
        <v>303</v>
      </c>
      <c r="E39" s="61">
        <f t="shared" si="0"/>
        <v>7.0000000000000001E-3</v>
      </c>
      <c r="F39" s="61">
        <f>Helicoil!E39/1000</f>
        <v>1.11E-2</v>
      </c>
      <c r="G39" s="61">
        <f>Helicoil!F39/1000</f>
        <v>8.6499999999999997E-3</v>
      </c>
      <c r="H39" s="61">
        <f>Helicoil!G39/1000</f>
        <v>8.8999999999999999E-3</v>
      </c>
      <c r="I39" s="61">
        <f>Helicoil!H39/1000</f>
        <v>7.2199999999999999E-3</v>
      </c>
      <c r="J39" s="61">
        <f>Helicoil!I39/1000</f>
        <v>7.4099999999999999E-3</v>
      </c>
      <c r="K39" s="61">
        <f>Helicoil!J39/1000</f>
        <v>7.3000000000000001E-3</v>
      </c>
      <c r="L39" s="61">
        <f>Helicoil!K39/1000</f>
        <v>1.35E-2</v>
      </c>
      <c r="M39" s="61">
        <f>Helicoil!L39/1000</f>
        <v>8.3000000000000001E-3</v>
      </c>
      <c r="N39" s="31">
        <f>Tabla13[[#This Row],[Metrica]]/1000</f>
        <v>7.0000000000000001E-3</v>
      </c>
      <c r="Y39">
        <v>11.1</v>
      </c>
    </row>
    <row r="40" spans="1:25" x14ac:dyDescent="0.3">
      <c r="A40" s="31">
        <v>7</v>
      </c>
      <c r="B40" s="31">
        <f>Tabla13[[#This Row],[Metrica]]/1000</f>
        <v>7.0000000000000001E-3</v>
      </c>
      <c r="C40" s="31">
        <f>Helicoil!B40/1000</f>
        <v>1E-3</v>
      </c>
      <c r="D40" s="61" t="s">
        <v>304</v>
      </c>
      <c r="E40" s="61">
        <f t="shared" si="0"/>
        <v>7.0000000000000001E-3</v>
      </c>
      <c r="F40" s="61">
        <f>Helicoil!E40/1000</f>
        <v>1.43E-2</v>
      </c>
      <c r="G40" s="61">
        <f>Helicoil!F40/1000</f>
        <v>8.6499999999999997E-3</v>
      </c>
      <c r="H40" s="61">
        <f>Helicoil!G40/1000</f>
        <v>8.8999999999999999E-3</v>
      </c>
      <c r="I40" s="61">
        <f>Helicoil!H40/1000</f>
        <v>7.2199999999999999E-3</v>
      </c>
      <c r="J40" s="61">
        <f>Helicoil!I40/1000</f>
        <v>7.4099999999999999E-3</v>
      </c>
      <c r="K40" s="61">
        <f>Helicoil!J40/1000</f>
        <v>7.3000000000000001E-3</v>
      </c>
      <c r="L40" s="61">
        <f>Helicoil!K40/1000</f>
        <v>1.7000000000000001E-2</v>
      </c>
      <c r="M40" s="61">
        <f>Helicoil!L40/1000</f>
        <v>8.3000000000000001E-3</v>
      </c>
      <c r="N40" s="31">
        <f>Tabla13[[#This Row],[Metrica]]/1000</f>
        <v>7.0000000000000001E-3</v>
      </c>
      <c r="Y40">
        <v>14.3</v>
      </c>
    </row>
    <row r="41" spans="1:25" ht="15" thickBot="1" x14ac:dyDescent="0.35">
      <c r="A41" s="62">
        <v>7</v>
      </c>
      <c r="B41" s="31">
        <f>Tabla13[[#This Row],[Metrica]]/1000</f>
        <v>7.0000000000000001E-3</v>
      </c>
      <c r="C41" s="31">
        <f>Helicoil!B41/1000</f>
        <v>1E-3</v>
      </c>
      <c r="D41" s="61" t="s">
        <v>305</v>
      </c>
      <c r="E41" s="61">
        <f t="shared" si="0"/>
        <v>7.0000000000000001E-3</v>
      </c>
      <c r="F41" s="61">
        <f>Helicoil!E41/1000</f>
        <v>1.7399999999999999E-2</v>
      </c>
      <c r="G41" s="61">
        <f>Helicoil!F41/1000</f>
        <v>8.6499999999999997E-3</v>
      </c>
      <c r="H41" s="61">
        <f>Helicoil!G41/1000</f>
        <v>8.8999999999999999E-3</v>
      </c>
      <c r="I41" s="61">
        <f>Helicoil!H41/1000</f>
        <v>7.2199999999999999E-3</v>
      </c>
      <c r="J41" s="61">
        <f>Helicoil!I41/1000</f>
        <v>7.4099999999999999E-3</v>
      </c>
      <c r="K41" s="61">
        <f>Helicoil!J41/1000</f>
        <v>7.3000000000000001E-3</v>
      </c>
      <c r="L41" s="61">
        <f>Helicoil!K41/1000</f>
        <v>2.0500000000000001E-2</v>
      </c>
      <c r="M41" s="61">
        <f>Helicoil!L41/1000</f>
        <v>8.3000000000000001E-3</v>
      </c>
      <c r="N41" s="31">
        <f>Tabla13[[#This Row],[Metrica]]/1000</f>
        <v>7.0000000000000001E-3</v>
      </c>
      <c r="Y41">
        <v>17.399999999999999</v>
      </c>
    </row>
    <row r="42" spans="1:25" x14ac:dyDescent="0.3">
      <c r="A42" s="31">
        <v>8</v>
      </c>
      <c r="B42" s="31">
        <f>Tabla13[[#This Row],[Metrica]]/1000</f>
        <v>8.0000000000000002E-3</v>
      </c>
      <c r="C42" s="31">
        <f>Helicoil!B42/1000</f>
        <v>1.25E-3</v>
      </c>
      <c r="D42" s="61" t="s">
        <v>301</v>
      </c>
      <c r="E42" s="61">
        <f t="shared" si="0"/>
        <v>8.0000000000000002E-3</v>
      </c>
      <c r="F42" s="61">
        <f>Helicoil!E42/1000</f>
        <v>4.7000000000000002E-3</v>
      </c>
      <c r="G42" s="61">
        <f>Helicoil!F42/1000</f>
        <v>9.8499999999999994E-3</v>
      </c>
      <c r="H42" s="61">
        <f>Helicoil!G42/1000</f>
        <v>1.01E-2</v>
      </c>
      <c r="I42" s="61">
        <f>Helicoil!H42/1000</f>
        <v>8.2699999999999996E-3</v>
      </c>
      <c r="J42" s="61">
        <f>Helicoil!I42/1000</f>
        <v>8.4799999999999997E-3</v>
      </c>
      <c r="K42" s="61">
        <f>Helicoil!J42/1000</f>
        <v>8.4000000000000012E-3</v>
      </c>
      <c r="L42" s="61">
        <f>Helicoil!K42/1000</f>
        <v>7.4000000000000003E-3</v>
      </c>
      <c r="M42" s="61">
        <f>Helicoil!L42/1000</f>
        <v>9.6200000000000001E-3</v>
      </c>
      <c r="N42" s="31">
        <f>Tabla13[[#This Row],[Metrica]]/1000</f>
        <v>8.0000000000000002E-3</v>
      </c>
      <c r="Y42">
        <v>4.7</v>
      </c>
    </row>
    <row r="43" spans="1:25" x14ac:dyDescent="0.3">
      <c r="A43" s="31">
        <v>8</v>
      </c>
      <c r="B43" s="31">
        <f>Tabla13[[#This Row],[Metrica]]/1000</f>
        <v>8.0000000000000002E-3</v>
      </c>
      <c r="C43" s="31">
        <f>Helicoil!B43/1000</f>
        <v>1.25E-3</v>
      </c>
      <c r="D43" s="61" t="s">
        <v>302</v>
      </c>
      <c r="E43" s="61">
        <f t="shared" si="0"/>
        <v>8.0000000000000002E-3</v>
      </c>
      <c r="F43" s="61">
        <f>Helicoil!E43/1000</f>
        <v>7.4000000000000003E-3</v>
      </c>
      <c r="G43" s="61">
        <f>Helicoil!F43/1000</f>
        <v>9.8499999999999994E-3</v>
      </c>
      <c r="H43" s="61">
        <f>Helicoil!G43/1000</f>
        <v>1.01E-2</v>
      </c>
      <c r="I43" s="61">
        <f>Helicoil!H43/1000</f>
        <v>8.2699999999999996E-3</v>
      </c>
      <c r="J43" s="61">
        <f>Helicoil!I43/1000</f>
        <v>8.4799999999999997E-3</v>
      </c>
      <c r="K43" s="61">
        <f>Helicoil!J43/1000</f>
        <v>8.4000000000000012E-3</v>
      </c>
      <c r="L43" s="61">
        <f>Helicoil!K43/1000</f>
        <v>1.14E-2</v>
      </c>
      <c r="M43" s="61">
        <f>Helicoil!L43/1000</f>
        <v>9.6200000000000001E-3</v>
      </c>
      <c r="N43" s="31">
        <f>Tabla13[[#This Row],[Metrica]]/1000</f>
        <v>8.0000000000000002E-3</v>
      </c>
      <c r="Y43">
        <v>7.4</v>
      </c>
    </row>
    <row r="44" spans="1:25" x14ac:dyDescent="0.3">
      <c r="A44" s="31">
        <v>8</v>
      </c>
      <c r="B44" s="31">
        <f>Tabla13[[#This Row],[Metrica]]/1000</f>
        <v>8.0000000000000002E-3</v>
      </c>
      <c r="C44" s="31">
        <f>Helicoil!B44/1000</f>
        <v>1.25E-3</v>
      </c>
      <c r="D44" s="61" t="s">
        <v>303</v>
      </c>
      <c r="E44" s="61">
        <f t="shared" si="0"/>
        <v>8.0000000000000002E-3</v>
      </c>
      <c r="F44" s="61">
        <f>Helicoil!E44/1000</f>
        <v>1.06E-2</v>
      </c>
      <c r="G44" s="61">
        <f>Helicoil!F44/1000</f>
        <v>9.8499999999999994E-3</v>
      </c>
      <c r="H44" s="61">
        <f>Helicoil!G44/1000</f>
        <v>1.01E-2</v>
      </c>
      <c r="I44" s="61">
        <f>Helicoil!H44/1000</f>
        <v>8.2699999999999996E-3</v>
      </c>
      <c r="J44" s="61">
        <f>Helicoil!I44/1000</f>
        <v>8.4799999999999997E-3</v>
      </c>
      <c r="K44" s="61">
        <f>Helicoil!J44/1000</f>
        <v>8.4000000000000012E-3</v>
      </c>
      <c r="L44" s="61">
        <f>Helicoil!K44/1000</f>
        <v>1.54E-2</v>
      </c>
      <c r="M44" s="61">
        <f>Helicoil!L44/1000</f>
        <v>9.6200000000000001E-3</v>
      </c>
      <c r="N44" s="31">
        <f>Tabla13[[#This Row],[Metrica]]/1000</f>
        <v>8.0000000000000002E-3</v>
      </c>
      <c r="Y44">
        <v>10.6</v>
      </c>
    </row>
    <row r="45" spans="1:25" x14ac:dyDescent="0.3">
      <c r="A45" s="31">
        <v>8</v>
      </c>
      <c r="B45" s="31">
        <f>Tabla13[[#This Row],[Metrica]]/1000</f>
        <v>8.0000000000000002E-3</v>
      </c>
      <c r="C45" s="31">
        <f>Helicoil!B45/1000</f>
        <v>1.25E-3</v>
      </c>
      <c r="D45" s="61" t="s">
        <v>304</v>
      </c>
      <c r="E45" s="61">
        <f t="shared" si="0"/>
        <v>8.0000000000000002E-3</v>
      </c>
      <c r="F45" s="61">
        <f>Helicoil!E45/1000</f>
        <v>1.35E-2</v>
      </c>
      <c r="G45" s="61">
        <f>Helicoil!F45/1000</f>
        <v>9.8499999999999994E-3</v>
      </c>
      <c r="H45" s="61">
        <f>Helicoil!G45/1000</f>
        <v>1.01E-2</v>
      </c>
      <c r="I45" s="61">
        <f>Helicoil!H45/1000</f>
        <v>8.2699999999999996E-3</v>
      </c>
      <c r="J45" s="61">
        <f>Helicoil!I45/1000</f>
        <v>8.4799999999999997E-3</v>
      </c>
      <c r="K45" s="61">
        <f>Helicoil!J45/1000</f>
        <v>8.4000000000000012E-3</v>
      </c>
      <c r="L45" s="61">
        <f>Helicoil!K45/1000</f>
        <v>1.9399999999999997E-2</v>
      </c>
      <c r="M45" s="61">
        <f>Helicoil!L45/1000</f>
        <v>9.6200000000000001E-3</v>
      </c>
      <c r="N45" s="31">
        <f>Tabla13[[#This Row],[Metrica]]/1000</f>
        <v>8.0000000000000002E-3</v>
      </c>
      <c r="Y45">
        <v>13.5</v>
      </c>
    </row>
    <row r="46" spans="1:25" ht="15" thickBot="1" x14ac:dyDescent="0.35">
      <c r="A46" s="62">
        <v>8</v>
      </c>
      <c r="B46" s="31">
        <f>Tabla13[[#This Row],[Metrica]]/1000</f>
        <v>8.0000000000000002E-3</v>
      </c>
      <c r="C46" s="31">
        <f>Helicoil!B46/1000</f>
        <v>1.25E-3</v>
      </c>
      <c r="D46" s="61" t="s">
        <v>305</v>
      </c>
      <c r="E46" s="61">
        <f t="shared" si="0"/>
        <v>8.0000000000000002E-3</v>
      </c>
      <c r="F46" s="61">
        <f>Helicoil!E46/1000</f>
        <v>1.6399999999999998E-2</v>
      </c>
      <c r="G46" s="61">
        <f>Helicoil!F46/1000</f>
        <v>9.8499999999999994E-3</v>
      </c>
      <c r="H46" s="61">
        <f>Helicoil!G46/1000</f>
        <v>1.01E-2</v>
      </c>
      <c r="I46" s="61">
        <f>Helicoil!H46/1000</f>
        <v>8.2699999999999996E-3</v>
      </c>
      <c r="J46" s="61">
        <f>Helicoil!I46/1000</f>
        <v>8.4799999999999997E-3</v>
      </c>
      <c r="K46" s="61">
        <f>Helicoil!J46/1000</f>
        <v>8.4000000000000012E-3</v>
      </c>
      <c r="L46" s="61">
        <f>Helicoil!K46/1000</f>
        <v>2.3399999999999997E-2</v>
      </c>
      <c r="M46" s="61">
        <f>Helicoil!L46/1000</f>
        <v>9.6200000000000001E-3</v>
      </c>
      <c r="N46" s="31">
        <f>Tabla13[[#This Row],[Metrica]]/1000</f>
        <v>8.0000000000000002E-3</v>
      </c>
      <c r="Y46">
        <v>16.399999999999999</v>
      </c>
    </row>
    <row r="47" spans="1:25" x14ac:dyDescent="0.3">
      <c r="A47" s="31">
        <v>8</v>
      </c>
      <c r="B47" s="31">
        <f>Tabla13[[#This Row],[Metrica]]/1000</f>
        <v>8.0000000000000002E-3</v>
      </c>
      <c r="C47" s="31">
        <f>Helicoil!B47/1000</f>
        <v>1E-3</v>
      </c>
      <c r="D47" s="61" t="s">
        <v>301</v>
      </c>
      <c r="E47" s="61">
        <f t="shared" si="0"/>
        <v>8.0000000000000002E-3</v>
      </c>
      <c r="F47" s="61">
        <f>Helicoil!E47/1000</f>
        <v>6.0999999999999995E-3</v>
      </c>
      <c r="G47" s="61">
        <f>Helicoil!F47/1000</f>
        <v>9.8499999999999994E-3</v>
      </c>
      <c r="H47" s="61">
        <f>Helicoil!G47/1000</f>
        <v>1.01E-2</v>
      </c>
      <c r="I47" s="61">
        <f>Helicoil!H47/1000</f>
        <v>8.2199999999999999E-3</v>
      </c>
      <c r="J47" s="61">
        <f>Helicoil!I47/1000</f>
        <v>8.4100000000000008E-3</v>
      </c>
      <c r="K47" s="61">
        <f>Helicoil!J47/1000</f>
        <v>8.3000000000000001E-3</v>
      </c>
      <c r="L47" s="61">
        <f>Helicoil!K47/1000</f>
        <v>7.4999999999999997E-3</v>
      </c>
      <c r="M47" s="61">
        <f>Helicoil!L47/1000</f>
        <v>9.300000000000001E-3</v>
      </c>
      <c r="N47" s="31">
        <f>Tabla13[[#This Row],[Metrica]]/1000</f>
        <v>8.0000000000000002E-3</v>
      </c>
      <c r="Y47">
        <v>6.1</v>
      </c>
    </row>
    <row r="48" spans="1:25" x14ac:dyDescent="0.3">
      <c r="A48" s="31">
        <v>8</v>
      </c>
      <c r="B48" s="31">
        <f>Tabla13[[#This Row],[Metrica]]/1000</f>
        <v>8.0000000000000002E-3</v>
      </c>
      <c r="C48" s="31">
        <f>Helicoil!B48/1000</f>
        <v>1E-3</v>
      </c>
      <c r="D48" s="61" t="s">
        <v>302</v>
      </c>
      <c r="E48" s="61">
        <f t="shared" si="0"/>
        <v>8.0000000000000002E-3</v>
      </c>
      <c r="F48" s="61">
        <f>Helicoil!E48/1000</f>
        <v>9.4999999999999998E-3</v>
      </c>
      <c r="G48" s="61">
        <f>Helicoil!F48/1000</f>
        <v>9.8499999999999994E-3</v>
      </c>
      <c r="H48" s="61">
        <f>Helicoil!G48/1000</f>
        <v>1.01E-2</v>
      </c>
      <c r="I48" s="61">
        <f>Helicoil!H48/1000</f>
        <v>8.2199999999999999E-3</v>
      </c>
      <c r="J48" s="61">
        <f>Helicoil!I48/1000</f>
        <v>8.4100000000000008E-3</v>
      </c>
      <c r="K48" s="61">
        <f>Helicoil!J48/1000</f>
        <v>8.3000000000000001E-3</v>
      </c>
      <c r="L48" s="61">
        <f>Helicoil!K48/1000</f>
        <v>1.15E-2</v>
      </c>
      <c r="M48" s="61">
        <f>Helicoil!L48/1000</f>
        <v>9.300000000000001E-3</v>
      </c>
      <c r="N48" s="31">
        <f>Tabla13[[#This Row],[Metrica]]/1000</f>
        <v>8.0000000000000002E-3</v>
      </c>
      <c r="Y48">
        <v>9.5</v>
      </c>
    </row>
    <row r="49" spans="1:27" x14ac:dyDescent="0.3">
      <c r="A49" s="31">
        <v>8</v>
      </c>
      <c r="B49" s="31">
        <f>Tabla13[[#This Row],[Metrica]]/1000</f>
        <v>8.0000000000000002E-3</v>
      </c>
      <c r="C49" s="31">
        <f>Helicoil!B49/1000</f>
        <v>1E-3</v>
      </c>
      <c r="D49" s="61" t="s">
        <v>303</v>
      </c>
      <c r="E49" s="61">
        <f t="shared" si="0"/>
        <v>8.0000000000000002E-3</v>
      </c>
      <c r="F49" s="61">
        <f>Helicoil!E49/1000</f>
        <v>1.29E-2</v>
      </c>
      <c r="G49" s="61">
        <f>Helicoil!F49/1000</f>
        <v>9.8499999999999994E-3</v>
      </c>
      <c r="H49" s="61">
        <f>Helicoil!G49/1000</f>
        <v>1.01E-2</v>
      </c>
      <c r="I49" s="61">
        <f>Helicoil!H49/1000</f>
        <v>8.2199999999999999E-3</v>
      </c>
      <c r="J49" s="61">
        <f>Helicoil!I49/1000</f>
        <v>8.4100000000000008E-3</v>
      </c>
      <c r="K49" s="61">
        <f>Helicoil!J49/1000</f>
        <v>8.3000000000000001E-3</v>
      </c>
      <c r="L49" s="61">
        <f>Helicoil!K49/1000</f>
        <v>1.55E-2</v>
      </c>
      <c r="M49" s="61">
        <f>Helicoil!L49/1000</f>
        <v>9.300000000000001E-3</v>
      </c>
      <c r="N49" s="31">
        <f>Tabla13[[#This Row],[Metrica]]/1000</f>
        <v>8.0000000000000002E-3</v>
      </c>
      <c r="Y49">
        <v>12.9</v>
      </c>
    </row>
    <row r="50" spans="1:27" x14ac:dyDescent="0.3">
      <c r="A50" s="31">
        <v>8</v>
      </c>
      <c r="B50" s="31">
        <f>Tabla13[[#This Row],[Metrica]]/1000</f>
        <v>8.0000000000000002E-3</v>
      </c>
      <c r="C50" s="31">
        <f>Helicoil!B50/1000</f>
        <v>1E-3</v>
      </c>
      <c r="D50" s="61" t="s">
        <v>304</v>
      </c>
      <c r="E50" s="61">
        <f t="shared" si="0"/>
        <v>8.0000000000000002E-3</v>
      </c>
      <c r="F50" s="61">
        <f>Helicoil!E50/1000</f>
        <v>1.6500000000000001E-2</v>
      </c>
      <c r="G50" s="61">
        <f>Helicoil!F50/1000</f>
        <v>9.8499999999999994E-3</v>
      </c>
      <c r="H50" s="61">
        <f>Helicoil!G50/1000</f>
        <v>1.01E-2</v>
      </c>
      <c r="I50" s="61">
        <f>Helicoil!H50/1000</f>
        <v>8.2199999999999999E-3</v>
      </c>
      <c r="J50" s="61">
        <f>Helicoil!I50/1000</f>
        <v>8.4100000000000008E-3</v>
      </c>
      <c r="K50" s="61">
        <f>Helicoil!J50/1000</f>
        <v>8.3000000000000001E-3</v>
      </c>
      <c r="L50" s="61">
        <f>Helicoil!K50/1000</f>
        <v>1.95E-2</v>
      </c>
      <c r="M50" s="61">
        <f>Helicoil!L50/1000</f>
        <v>9.300000000000001E-3</v>
      </c>
      <c r="N50" s="31">
        <f>Tabla13[[#This Row],[Metrica]]/1000</f>
        <v>8.0000000000000002E-3</v>
      </c>
      <c r="Y50">
        <v>16.5</v>
      </c>
    </row>
    <row r="51" spans="1:27" ht="15" thickBot="1" x14ac:dyDescent="0.35">
      <c r="A51" s="62">
        <v>8</v>
      </c>
      <c r="B51" s="31">
        <f>Tabla13[[#This Row],[Metrica]]/1000</f>
        <v>8.0000000000000002E-3</v>
      </c>
      <c r="C51" s="31">
        <f>Helicoil!B51/1000</f>
        <v>1E-3</v>
      </c>
      <c r="D51" s="61" t="s">
        <v>305</v>
      </c>
      <c r="E51" s="61">
        <f t="shared" si="0"/>
        <v>8.0000000000000002E-3</v>
      </c>
      <c r="F51" s="61">
        <f>Helicoil!E51/1000</f>
        <v>1.9899999999999998E-2</v>
      </c>
      <c r="G51" s="61">
        <f>Helicoil!F51/1000</f>
        <v>9.8499999999999994E-3</v>
      </c>
      <c r="H51" s="61">
        <f>Helicoil!G51/1000</f>
        <v>1.01E-2</v>
      </c>
      <c r="I51" s="61">
        <f>Helicoil!H51/1000</f>
        <v>8.2199999999999999E-3</v>
      </c>
      <c r="J51" s="61">
        <f>Helicoil!I51/1000</f>
        <v>8.4100000000000008E-3</v>
      </c>
      <c r="K51" s="61">
        <f>Helicoil!J51/1000</f>
        <v>8.3000000000000001E-3</v>
      </c>
      <c r="L51" s="61">
        <f>Helicoil!K51/1000</f>
        <v>2.35E-2</v>
      </c>
      <c r="M51" s="61">
        <f>Helicoil!L51/1000</f>
        <v>9.300000000000001E-3</v>
      </c>
      <c r="N51" s="31">
        <f>Tabla13[[#This Row],[Metrica]]/1000</f>
        <v>8.0000000000000002E-3</v>
      </c>
      <c r="Y51">
        <v>19.899999999999999</v>
      </c>
    </row>
    <row r="52" spans="1:27" x14ac:dyDescent="0.3">
      <c r="A52" s="31">
        <v>9</v>
      </c>
      <c r="B52" s="31">
        <f>Tabla13[[#This Row],[Metrica]]/1000</f>
        <v>8.9999999999999993E-3</v>
      </c>
      <c r="C52" s="31">
        <f>Helicoil!B52/1000</f>
        <v>1.25E-3</v>
      </c>
      <c r="D52" s="61" t="s">
        <v>301</v>
      </c>
      <c r="E52" s="61">
        <f t="shared" si="0"/>
        <v>8.9999999999999993E-3</v>
      </c>
      <c r="F52" s="61">
        <f>Helicoil!E52/1000</f>
        <v>5.3E-3</v>
      </c>
      <c r="G52" s="61">
        <f>Helicoil!F52/1000</f>
        <v>1.085E-2</v>
      </c>
      <c r="H52" s="61">
        <f>Helicoil!G52/1000</f>
        <v>1.11E-2</v>
      </c>
      <c r="I52" s="61">
        <f>Helicoil!H52/1000</f>
        <v>9.2699999999999987E-3</v>
      </c>
      <c r="J52" s="61">
        <f>Helicoil!I52/1000</f>
        <v>9.4800000000000006E-3</v>
      </c>
      <c r="K52" s="61">
        <f>Helicoil!J52/1000</f>
        <v>9.4000000000000004E-3</v>
      </c>
      <c r="L52" s="61">
        <f>Helicoil!K52/1000</f>
        <v>8.4000000000000012E-3</v>
      </c>
      <c r="M52" s="61">
        <f>Helicoil!L52/1000</f>
        <v>1.0619999999999999E-2</v>
      </c>
      <c r="N52" s="31">
        <f>Tabla13[[#This Row],[Metrica]]/1000</f>
        <v>8.9999999999999993E-3</v>
      </c>
    </row>
    <row r="53" spans="1:27" x14ac:dyDescent="0.3">
      <c r="A53" s="31">
        <v>9</v>
      </c>
      <c r="B53" s="31">
        <f>Tabla13[[#This Row],[Metrica]]/1000</f>
        <v>8.9999999999999993E-3</v>
      </c>
      <c r="C53" s="31">
        <f>Helicoil!B53/1000</f>
        <v>1.25E-3</v>
      </c>
      <c r="D53" s="61" t="s">
        <v>302</v>
      </c>
      <c r="E53" s="61">
        <f t="shared" si="0"/>
        <v>8.9999999999999993E-3</v>
      </c>
      <c r="F53" s="61">
        <f>Helicoil!E53/1000</f>
        <v>8.6E-3</v>
      </c>
      <c r="G53" s="61">
        <f>Helicoil!F53/1000</f>
        <v>1.085E-2</v>
      </c>
      <c r="H53" s="61">
        <f>Helicoil!G53/1000</f>
        <v>1.11E-2</v>
      </c>
      <c r="I53" s="61">
        <f>Helicoil!H53/1000</f>
        <v>9.2699999999999987E-3</v>
      </c>
      <c r="J53" s="61">
        <f>Helicoil!I53/1000</f>
        <v>9.4800000000000006E-3</v>
      </c>
      <c r="K53" s="61">
        <f>Helicoil!J53/1000</f>
        <v>9.4000000000000004E-3</v>
      </c>
      <c r="L53" s="61">
        <f>Helicoil!K53/1000</f>
        <v>1.29E-2</v>
      </c>
      <c r="M53" s="61">
        <f>Helicoil!L53/1000</f>
        <v>1.0619999999999999E-2</v>
      </c>
      <c r="N53" s="31">
        <f>Tabla13[[#This Row],[Metrica]]/1000</f>
        <v>8.9999999999999993E-3</v>
      </c>
      <c r="AA53">
        <v>12.9</v>
      </c>
    </row>
    <row r="54" spans="1:27" x14ac:dyDescent="0.3">
      <c r="A54" s="31">
        <v>9</v>
      </c>
      <c r="B54" s="31">
        <f>Tabla13[[#This Row],[Metrica]]/1000</f>
        <v>8.9999999999999993E-3</v>
      </c>
      <c r="C54" s="31">
        <f>Helicoil!B54/1000</f>
        <v>1.25E-3</v>
      </c>
      <c r="D54" s="61" t="s">
        <v>303</v>
      </c>
      <c r="E54" s="61">
        <f t="shared" si="0"/>
        <v>8.9999999999999993E-3</v>
      </c>
      <c r="F54" s="61">
        <f>Helicoil!E54/1000</f>
        <v>1.1900000000000001E-2</v>
      </c>
      <c r="G54" s="61">
        <f>Helicoil!F54/1000</f>
        <v>1.085E-2</v>
      </c>
      <c r="H54" s="61">
        <f>Helicoil!G54/1000</f>
        <v>1.11E-2</v>
      </c>
      <c r="I54" s="61">
        <f>Helicoil!H54/1000</f>
        <v>9.2699999999999987E-3</v>
      </c>
      <c r="J54" s="61">
        <f>Helicoil!I54/1000</f>
        <v>9.4800000000000006E-3</v>
      </c>
      <c r="K54" s="61">
        <f>Helicoil!J54/1000</f>
        <v>9.4000000000000004E-3</v>
      </c>
      <c r="L54" s="61">
        <f>Helicoil!K54/1000</f>
        <v>1.7899999999999999E-2</v>
      </c>
      <c r="M54" s="61">
        <f>Helicoil!L54/1000</f>
        <v>1.0619999999999999E-2</v>
      </c>
      <c r="N54" s="31">
        <f>Tabla13[[#This Row],[Metrica]]/1000</f>
        <v>8.9999999999999993E-3</v>
      </c>
      <c r="AA54">
        <v>21.9</v>
      </c>
    </row>
    <row r="55" spans="1:27" x14ac:dyDescent="0.3">
      <c r="A55" s="31">
        <v>9</v>
      </c>
      <c r="B55" s="31">
        <f>Tabla13[[#This Row],[Metrica]]/1000</f>
        <v>8.9999999999999993E-3</v>
      </c>
      <c r="C55" s="31">
        <f>Helicoil!B55/1000</f>
        <v>1.25E-3</v>
      </c>
      <c r="D55" s="61" t="s">
        <v>304</v>
      </c>
      <c r="E55" s="61">
        <f t="shared" si="0"/>
        <v>8.9999999999999993E-3</v>
      </c>
      <c r="F55" s="61">
        <f>Helicoil!E55/1000</f>
        <v>1.5300000000000001E-2</v>
      </c>
      <c r="G55" s="61">
        <f>Helicoil!F55/1000</f>
        <v>1.085E-2</v>
      </c>
      <c r="H55" s="61">
        <f>Helicoil!G55/1000</f>
        <v>1.11E-2</v>
      </c>
      <c r="I55" s="61">
        <f>Helicoil!H55/1000</f>
        <v>9.2699999999999987E-3</v>
      </c>
      <c r="J55" s="61">
        <f>Helicoil!I55/1000</f>
        <v>9.4800000000000006E-3</v>
      </c>
      <c r="K55" s="61">
        <f>Helicoil!J55/1000</f>
        <v>9.4000000000000004E-3</v>
      </c>
      <c r="L55" s="61">
        <f>Helicoil!K55/1000</f>
        <v>2.1899999999999999E-2</v>
      </c>
      <c r="M55" s="61">
        <f>Helicoil!L55/1000</f>
        <v>1.0619999999999999E-2</v>
      </c>
      <c r="N55" s="31">
        <f>Tabla13[[#This Row],[Metrica]]/1000</f>
        <v>8.9999999999999993E-3</v>
      </c>
      <c r="AA55">
        <v>26.4</v>
      </c>
    </row>
    <row r="56" spans="1:27" ht="15" thickBot="1" x14ac:dyDescent="0.35">
      <c r="A56" s="62">
        <v>9</v>
      </c>
      <c r="B56" s="31">
        <f>Tabla13[[#This Row],[Metrica]]/1000</f>
        <v>8.9999999999999993E-3</v>
      </c>
      <c r="C56" s="31">
        <f>Helicoil!B56/1000</f>
        <v>1.25E-3</v>
      </c>
      <c r="D56" s="61" t="s">
        <v>305</v>
      </c>
      <c r="E56" s="61">
        <f t="shared" si="0"/>
        <v>8.9999999999999993E-3</v>
      </c>
      <c r="F56" s="61">
        <f>Helicoil!E56/1000</f>
        <v>1.8100000000000002E-2</v>
      </c>
      <c r="G56" s="61">
        <f>Helicoil!F56/1000</f>
        <v>1.085E-2</v>
      </c>
      <c r="H56" s="61">
        <f>Helicoil!G56/1000</f>
        <v>1.11E-2</v>
      </c>
      <c r="I56" s="61">
        <f>Helicoil!H56/1000</f>
        <v>9.2699999999999987E-3</v>
      </c>
      <c r="J56" s="61">
        <f>Helicoil!I56/1000</f>
        <v>9.4800000000000006E-3</v>
      </c>
      <c r="K56" s="61">
        <f>Helicoil!J56/1000</f>
        <v>9.4000000000000004E-3</v>
      </c>
      <c r="L56" s="61">
        <f>Helicoil!K56/1000</f>
        <v>2.64E-2</v>
      </c>
      <c r="M56" s="61">
        <f>Helicoil!L56/1000</f>
        <v>1.0619999999999999E-2</v>
      </c>
      <c r="N56" s="31">
        <f>Tabla13[[#This Row],[Metrica]]/1000</f>
        <v>8.9999999999999993E-3</v>
      </c>
      <c r="AA56">
        <v>9.1999999999999993</v>
      </c>
    </row>
    <row r="57" spans="1:27" x14ac:dyDescent="0.3">
      <c r="A57" s="31">
        <v>10</v>
      </c>
      <c r="B57" s="31">
        <f>Tabla13[[#This Row],[Metrica]]/1000</f>
        <v>0.01</v>
      </c>
      <c r="C57" s="31">
        <f>Helicoil!B57/1000</f>
        <v>1.5E-3</v>
      </c>
      <c r="D57" s="61" t="s">
        <v>301</v>
      </c>
      <c r="E57" s="61">
        <f t="shared" si="0"/>
        <v>0.01</v>
      </c>
      <c r="F57" s="61">
        <f>Helicoil!E57/1000</f>
        <v>5.0000000000000001E-3</v>
      </c>
      <c r="G57" s="61">
        <f>Helicoil!F57/1000</f>
        <v>1.21E-2</v>
      </c>
      <c r="H57" s="61">
        <f>Helicoil!G57/1000</f>
        <v>1.2500000000000001E-2</v>
      </c>
      <c r="I57" s="61">
        <f>Helicoil!H57/1000</f>
        <v>1.0320000000000001E-2</v>
      </c>
      <c r="J57" s="61">
        <f>Helicoil!I57/1000</f>
        <v>1.056E-2</v>
      </c>
      <c r="K57" s="61">
        <f>Helicoil!J57/1000</f>
        <v>1.0500000000000001E-2</v>
      </c>
      <c r="L57" s="61">
        <f>Helicoil!K57/1000</f>
        <v>9.1999999999999998E-3</v>
      </c>
      <c r="M57" s="61">
        <f>Helicoil!L57/1000</f>
        <v>1.1949999999999999E-2</v>
      </c>
      <c r="N57" s="31">
        <f>Tabla13[[#This Row],[Metrica]]/1000</f>
        <v>0.01</v>
      </c>
      <c r="AA57">
        <v>14.2</v>
      </c>
    </row>
    <row r="58" spans="1:27" x14ac:dyDescent="0.3">
      <c r="A58" s="31">
        <v>10</v>
      </c>
      <c r="B58" s="31">
        <f>Tabla13[[#This Row],[Metrica]]/1000</f>
        <v>0.01</v>
      </c>
      <c r="C58" s="31">
        <f>Helicoil!B58/1000</f>
        <v>1.5E-3</v>
      </c>
      <c r="D58" s="61" t="s">
        <v>302</v>
      </c>
      <c r="E58" s="61">
        <f t="shared" si="0"/>
        <v>0.01</v>
      </c>
      <c r="F58" s="61">
        <f>Helicoil!E58/1000</f>
        <v>8.0999999999999996E-3</v>
      </c>
      <c r="G58" s="61">
        <f>Helicoil!F58/1000</f>
        <v>1.21E-2</v>
      </c>
      <c r="H58" s="61">
        <f>Helicoil!G58/1000</f>
        <v>1.2500000000000001E-2</v>
      </c>
      <c r="I58" s="61">
        <f>Helicoil!H58/1000</f>
        <v>1.0320000000000001E-2</v>
      </c>
      <c r="J58" s="61">
        <f>Helicoil!I58/1000</f>
        <v>1.056E-2</v>
      </c>
      <c r="K58" s="61">
        <f>Helicoil!J58/1000</f>
        <v>1.0500000000000001E-2</v>
      </c>
      <c r="L58" s="61">
        <f>Helicoil!K58/1000</f>
        <v>1.4199999999999999E-2</v>
      </c>
      <c r="M58" s="61">
        <f>Helicoil!L58/1000</f>
        <v>1.1949999999999999E-2</v>
      </c>
      <c r="N58" s="31">
        <f>Tabla13[[#This Row],[Metrica]]/1000</f>
        <v>0.01</v>
      </c>
      <c r="AA58">
        <v>19.2</v>
      </c>
    </row>
    <row r="59" spans="1:27" x14ac:dyDescent="0.3">
      <c r="A59" s="31">
        <v>10</v>
      </c>
      <c r="B59" s="31">
        <f>Tabla13[[#This Row],[Metrica]]/1000</f>
        <v>0.01</v>
      </c>
      <c r="C59" s="31">
        <f>Helicoil!B59/1000</f>
        <v>1.5E-3</v>
      </c>
      <c r="D59" s="61" t="s">
        <v>303</v>
      </c>
      <c r="E59" s="61">
        <f t="shared" si="0"/>
        <v>0.01</v>
      </c>
      <c r="F59" s="61">
        <f>Helicoil!E59/1000</f>
        <v>1.12E-2</v>
      </c>
      <c r="G59" s="61">
        <f>Helicoil!F59/1000</f>
        <v>1.21E-2</v>
      </c>
      <c r="H59" s="61">
        <f>Helicoil!G59/1000</f>
        <v>1.2500000000000001E-2</v>
      </c>
      <c r="I59" s="61">
        <f>Helicoil!H59/1000</f>
        <v>1.0320000000000001E-2</v>
      </c>
      <c r="J59" s="61">
        <f>Helicoil!I59/1000</f>
        <v>1.056E-2</v>
      </c>
      <c r="K59" s="61">
        <f>Helicoil!J59/1000</f>
        <v>1.0500000000000001E-2</v>
      </c>
      <c r="L59" s="61">
        <f>Helicoil!K59/1000</f>
        <v>1.9199999999999998E-2</v>
      </c>
      <c r="M59" s="61">
        <f>Helicoil!L59/1000</f>
        <v>1.1949999999999999E-2</v>
      </c>
      <c r="N59" s="31">
        <f>Tabla13[[#This Row],[Metrica]]/1000</f>
        <v>0.01</v>
      </c>
      <c r="AA59">
        <v>24.2</v>
      </c>
    </row>
    <row r="60" spans="1:27" x14ac:dyDescent="0.3">
      <c r="A60" s="31">
        <v>10</v>
      </c>
      <c r="B60" s="31">
        <f>Tabla13[[#This Row],[Metrica]]/1000</f>
        <v>0.01</v>
      </c>
      <c r="C60" s="31">
        <f>Helicoil!B60/1000</f>
        <v>1.5E-3</v>
      </c>
      <c r="D60" s="61" t="s">
        <v>304</v>
      </c>
      <c r="E60" s="61">
        <f t="shared" si="0"/>
        <v>0.01</v>
      </c>
      <c r="F60" s="61">
        <f>Helicoil!E60/1000</f>
        <v>1.4199999999999999E-2</v>
      </c>
      <c r="G60" s="61">
        <f>Helicoil!F60/1000</f>
        <v>1.21E-2</v>
      </c>
      <c r="H60" s="61">
        <f>Helicoil!G60/1000</f>
        <v>1.2500000000000001E-2</v>
      </c>
      <c r="I60" s="61">
        <f>Helicoil!H60/1000</f>
        <v>1.0320000000000001E-2</v>
      </c>
      <c r="J60" s="61">
        <f>Helicoil!I60/1000</f>
        <v>1.056E-2</v>
      </c>
      <c r="K60" s="61">
        <f>Helicoil!J60/1000</f>
        <v>1.0500000000000001E-2</v>
      </c>
      <c r="L60" s="61">
        <f>Helicoil!K60/1000</f>
        <v>2.4199999999999999E-2</v>
      </c>
      <c r="M60" s="61">
        <f>Helicoil!L60/1000</f>
        <v>1.1949999999999999E-2</v>
      </c>
      <c r="N60" s="31">
        <f>Tabla13[[#This Row],[Metrica]]/1000</f>
        <v>0.01</v>
      </c>
      <c r="AA60">
        <v>9.5</v>
      </c>
    </row>
    <row r="61" spans="1:27" ht="15" thickBot="1" x14ac:dyDescent="0.35">
      <c r="A61" s="62">
        <v>10</v>
      </c>
      <c r="B61" s="31">
        <f>Tabla13[[#This Row],[Metrica]]/1000</f>
        <v>0.01</v>
      </c>
      <c r="C61" s="31">
        <f>Helicoil!B61/1000</f>
        <v>1.5E-3</v>
      </c>
      <c r="D61" s="61" t="s">
        <v>305</v>
      </c>
      <c r="E61" s="61">
        <f t="shared" si="0"/>
        <v>0.01</v>
      </c>
      <c r="F61" s="61">
        <f>Helicoil!E61/1000</f>
        <v>1.72E-2</v>
      </c>
      <c r="G61" s="61">
        <f>Helicoil!F61/1000</f>
        <v>1.21E-2</v>
      </c>
      <c r="H61" s="61">
        <f>Helicoil!G61/1000</f>
        <v>1.2500000000000001E-2</v>
      </c>
      <c r="I61" s="61">
        <f>Helicoil!H61/1000</f>
        <v>1.0320000000000001E-2</v>
      </c>
      <c r="J61" s="61">
        <f>Helicoil!I61/1000</f>
        <v>1.056E-2</v>
      </c>
      <c r="K61" s="61">
        <f>Helicoil!J61/1000</f>
        <v>1.0500000000000001E-2</v>
      </c>
      <c r="L61" s="61">
        <f>Helicoil!K61/1000</f>
        <v>2.92E-2</v>
      </c>
      <c r="M61" s="61">
        <f>Helicoil!L61/1000</f>
        <v>1.1949999999999999E-2</v>
      </c>
      <c r="N61" s="31">
        <f>Tabla13[[#This Row],[Metrica]]/1000</f>
        <v>0.01</v>
      </c>
      <c r="AA61">
        <v>14.5</v>
      </c>
    </row>
    <row r="62" spans="1:27" x14ac:dyDescent="0.3">
      <c r="A62" s="31">
        <v>10</v>
      </c>
      <c r="B62" s="31">
        <f>Tabla13[[#This Row],[Metrica]]/1000</f>
        <v>0.01</v>
      </c>
      <c r="C62" s="31">
        <f>Helicoil!B62/1000</f>
        <v>1E-3</v>
      </c>
      <c r="D62" s="61" t="s">
        <v>301</v>
      </c>
      <c r="E62" s="61">
        <f t="shared" si="0"/>
        <v>0.01</v>
      </c>
      <c r="F62" s="61">
        <f>Helicoil!E62/1000</f>
        <v>7.6E-3</v>
      </c>
      <c r="G62" s="61">
        <f>Helicoil!F62/1000</f>
        <v>1.21E-2</v>
      </c>
      <c r="H62" s="61">
        <f>Helicoil!G62/1000</f>
        <v>1.2500000000000001E-2</v>
      </c>
      <c r="I62" s="61">
        <f>Helicoil!H62/1000</f>
        <v>1.022E-2</v>
      </c>
      <c r="J62" s="61">
        <f>Helicoil!I62/1000</f>
        <v>1.0410000000000001E-2</v>
      </c>
      <c r="K62" s="61">
        <f>Helicoil!J62/1000</f>
        <v>1.025E-2</v>
      </c>
      <c r="L62" s="61">
        <f>Helicoil!K62/1000</f>
        <v>9.4999999999999998E-3</v>
      </c>
      <c r="M62" s="61">
        <f>Helicoil!L62/1000</f>
        <v>1.1300000000000001E-2</v>
      </c>
      <c r="N62" s="31">
        <f>Tabla13[[#This Row],[Metrica]]/1000</f>
        <v>0.01</v>
      </c>
      <c r="AA62">
        <v>19.5</v>
      </c>
    </row>
    <row r="63" spans="1:27" x14ac:dyDescent="0.3">
      <c r="A63" s="31">
        <v>10</v>
      </c>
      <c r="B63" s="31">
        <f>Tabla13[[#This Row],[Metrica]]/1000</f>
        <v>0.01</v>
      </c>
      <c r="C63" s="31">
        <f>Helicoil!B63/1000</f>
        <v>1E-3</v>
      </c>
      <c r="D63" s="61" t="s">
        <v>302</v>
      </c>
      <c r="E63" s="61">
        <f t="shared" si="0"/>
        <v>0.01</v>
      </c>
      <c r="F63" s="61">
        <f>Helicoil!E63/1000</f>
        <v>1.21E-2</v>
      </c>
      <c r="G63" s="61">
        <f>Helicoil!F63/1000</f>
        <v>1.21E-2</v>
      </c>
      <c r="H63" s="61">
        <f>Helicoil!G63/1000</f>
        <v>1.2500000000000001E-2</v>
      </c>
      <c r="I63" s="61">
        <f>Helicoil!H63/1000</f>
        <v>1.022E-2</v>
      </c>
      <c r="J63" s="61">
        <f>Helicoil!I63/1000</f>
        <v>1.0410000000000001E-2</v>
      </c>
      <c r="K63" s="61">
        <f>Helicoil!J63/1000</f>
        <v>1.025E-2</v>
      </c>
      <c r="L63" s="61">
        <f>Helicoil!K63/1000</f>
        <v>1.4500000000000001E-2</v>
      </c>
      <c r="M63" s="61">
        <f>Helicoil!L63/1000</f>
        <v>1.1300000000000001E-2</v>
      </c>
      <c r="N63" s="31">
        <f>Tabla13[[#This Row],[Metrica]]/1000</f>
        <v>0.01</v>
      </c>
      <c r="AA63">
        <v>24.5</v>
      </c>
    </row>
    <row r="64" spans="1:27" x14ac:dyDescent="0.3">
      <c r="A64" s="31">
        <v>10</v>
      </c>
      <c r="B64" s="31">
        <f>Tabla13[[#This Row],[Metrica]]/1000</f>
        <v>0.01</v>
      </c>
      <c r="C64" s="31">
        <f>Helicoil!B64/1000</f>
        <v>1E-3</v>
      </c>
      <c r="D64" s="61" t="s">
        <v>303</v>
      </c>
      <c r="E64" s="61">
        <f t="shared" si="0"/>
        <v>0.01</v>
      </c>
      <c r="F64" s="61">
        <f>Helicoil!E64/1000</f>
        <v>1.6300000000000002E-2</v>
      </c>
      <c r="G64" s="61">
        <f>Helicoil!F64/1000</f>
        <v>1.21E-2</v>
      </c>
      <c r="H64" s="61">
        <f>Helicoil!G64/1000</f>
        <v>1.2500000000000001E-2</v>
      </c>
      <c r="I64" s="61">
        <f>Helicoil!H64/1000</f>
        <v>1.022E-2</v>
      </c>
      <c r="J64" s="61">
        <f>Helicoil!I64/1000</f>
        <v>1.0410000000000001E-2</v>
      </c>
      <c r="K64" s="61">
        <f>Helicoil!J64/1000</f>
        <v>1.025E-2</v>
      </c>
      <c r="L64" s="61">
        <f>Helicoil!K64/1000</f>
        <v>1.95E-2</v>
      </c>
      <c r="M64" s="61">
        <f>Helicoil!L64/1000</f>
        <v>1.1300000000000001E-2</v>
      </c>
      <c r="N64" s="31">
        <f>Tabla13[[#This Row],[Metrica]]/1000</f>
        <v>0.01</v>
      </c>
      <c r="AA64">
        <v>29.5</v>
      </c>
    </row>
    <row r="65" spans="1:27" x14ac:dyDescent="0.3">
      <c r="A65" s="31">
        <v>10</v>
      </c>
      <c r="B65" s="31">
        <f>Tabla13[[#This Row],[Metrica]]/1000</f>
        <v>0.01</v>
      </c>
      <c r="C65" s="31">
        <f>Helicoil!B65/1000</f>
        <v>1E-3</v>
      </c>
      <c r="D65" s="61" t="s">
        <v>304</v>
      </c>
      <c r="E65" s="61">
        <f t="shared" si="0"/>
        <v>0.01</v>
      </c>
      <c r="F65" s="61">
        <f>Helicoil!E65/1000</f>
        <v>2.07E-2</v>
      </c>
      <c r="G65" s="61">
        <f>Helicoil!F65/1000</f>
        <v>1.21E-2</v>
      </c>
      <c r="H65" s="61">
        <f>Helicoil!G65/1000</f>
        <v>1.2500000000000001E-2</v>
      </c>
      <c r="I65" s="61">
        <f>Helicoil!H65/1000</f>
        <v>1.022E-2</v>
      </c>
      <c r="J65" s="61">
        <f>Helicoil!I65/1000</f>
        <v>1.0410000000000001E-2</v>
      </c>
      <c r="K65" s="61">
        <f>Helicoil!J65/1000</f>
        <v>1.025E-2</v>
      </c>
      <c r="L65" s="61">
        <f>Helicoil!K65/1000</f>
        <v>2.4500000000000001E-2</v>
      </c>
      <c r="M65" s="61">
        <f>Helicoil!L65/1000</f>
        <v>1.1300000000000001E-2</v>
      </c>
      <c r="N65" s="31">
        <f>Tabla13[[#This Row],[Metrica]]/1000</f>
        <v>0.01</v>
      </c>
      <c r="AA65">
        <v>14.4</v>
      </c>
    </row>
    <row r="66" spans="1:27" ht="15" thickBot="1" x14ac:dyDescent="0.35">
      <c r="A66" s="62">
        <v>10</v>
      </c>
      <c r="B66" s="31">
        <f>Tabla13[[#This Row],[Metrica]]/1000</f>
        <v>0.01</v>
      </c>
      <c r="C66" s="31">
        <f>Helicoil!B66/1000</f>
        <v>1E-3</v>
      </c>
      <c r="D66" s="61" t="s">
        <v>305</v>
      </c>
      <c r="E66" s="61">
        <f t="shared" ref="E66:E116" si="1">A66*1 /1000</f>
        <v>0.01</v>
      </c>
      <c r="F66" s="61">
        <f>Helicoil!E66/1000</f>
        <v>2.5000000000000001E-2</v>
      </c>
      <c r="G66" s="61">
        <f>Helicoil!F66/1000</f>
        <v>1.21E-2</v>
      </c>
      <c r="H66" s="61">
        <f>Helicoil!G66/1000</f>
        <v>1.2500000000000001E-2</v>
      </c>
      <c r="I66" s="61">
        <f>Helicoil!H66/1000</f>
        <v>1.022E-2</v>
      </c>
      <c r="J66" s="61">
        <f>Helicoil!I66/1000</f>
        <v>1.0410000000000001E-2</v>
      </c>
      <c r="K66" s="61">
        <f>Helicoil!J66/1000</f>
        <v>1.025E-2</v>
      </c>
      <c r="L66" s="61">
        <f>Helicoil!K66/1000</f>
        <v>2.9499999999999998E-2</v>
      </c>
      <c r="M66" s="61">
        <f>Helicoil!L66/1000</f>
        <v>1.1300000000000001E-2</v>
      </c>
      <c r="N66" s="31">
        <f>Tabla13[[#This Row],[Metrica]]/1000</f>
        <v>0.01</v>
      </c>
      <c r="AA66">
        <v>19.399999999999999</v>
      </c>
    </row>
    <row r="67" spans="1:27" x14ac:dyDescent="0.3">
      <c r="A67" s="31">
        <v>10</v>
      </c>
      <c r="B67" s="31">
        <f>Tabla13[[#This Row],[Metrica]]/1000</f>
        <v>0.01</v>
      </c>
      <c r="C67" s="31">
        <f>Helicoil!B67/1000</f>
        <v>1.25E-3</v>
      </c>
      <c r="D67" s="61" t="s">
        <v>301</v>
      </c>
      <c r="E67" s="61">
        <f t="shared" si="1"/>
        <v>0.01</v>
      </c>
      <c r="F67" s="61">
        <f>Helicoil!E67/1000</f>
        <v>6.0000000000000001E-3</v>
      </c>
      <c r="G67" s="61">
        <f>Helicoil!F67/1000</f>
        <v>1.21E-2</v>
      </c>
      <c r="H67" s="61">
        <f>Helicoil!G67/1000</f>
        <v>1.2500000000000001E-2</v>
      </c>
      <c r="I67" s="61">
        <f>Helicoil!H67/1000</f>
        <v>1.027E-2</v>
      </c>
      <c r="J67" s="61">
        <f>Helicoil!I67/1000</f>
        <v>1.048E-2</v>
      </c>
      <c r="K67" s="61">
        <f>Helicoil!J67/1000</f>
        <v>1.04E-2</v>
      </c>
      <c r="L67" s="61">
        <f>Helicoil!K67/1000</f>
        <v>9.4000000000000004E-3</v>
      </c>
      <c r="M67" s="61">
        <f>Helicoil!L67/1000</f>
        <v>1.1619999999999998E-2</v>
      </c>
      <c r="N67" s="31">
        <f>Tabla13[[#This Row],[Metrica]]/1000</f>
        <v>0.01</v>
      </c>
      <c r="Y67" t="s">
        <v>330</v>
      </c>
      <c r="AA67">
        <v>24.4</v>
      </c>
    </row>
    <row r="68" spans="1:27" x14ac:dyDescent="0.3">
      <c r="A68" s="31">
        <v>10</v>
      </c>
      <c r="B68" s="31">
        <f>Tabla13[[#This Row],[Metrica]]/1000</f>
        <v>0.01</v>
      </c>
      <c r="C68" s="31">
        <f>Helicoil!B68/1000</f>
        <v>1.25E-3</v>
      </c>
      <c r="D68" s="61" t="s">
        <v>302</v>
      </c>
      <c r="E68" s="61">
        <f t="shared" si="1"/>
        <v>0.01</v>
      </c>
      <c r="F68" s="61">
        <f>Helicoil!E68/1000</f>
        <v>9.6999999999999986E-3</v>
      </c>
      <c r="G68" s="61">
        <f>Helicoil!F68/1000</f>
        <v>1.21E-2</v>
      </c>
      <c r="H68" s="61">
        <f>Helicoil!G68/1000</f>
        <v>1.2500000000000001E-2</v>
      </c>
      <c r="I68" s="61">
        <f>Helicoil!H68/1000</f>
        <v>1.027E-2</v>
      </c>
      <c r="J68" s="61">
        <f>Helicoil!I68/1000</f>
        <v>1.048E-2</v>
      </c>
      <c r="K68" s="61">
        <f>Helicoil!J68/1000</f>
        <v>1.04E-2</v>
      </c>
      <c r="L68" s="61">
        <f>Helicoil!K68/1000</f>
        <v>1.44E-2</v>
      </c>
      <c r="M68" s="61">
        <f>Helicoil!L68/1000</f>
        <v>1.1619999999999998E-2</v>
      </c>
      <c r="N68" s="31">
        <f>Tabla13[[#This Row],[Metrica]]/1000</f>
        <v>0.01</v>
      </c>
      <c r="Y68">
        <v>9.6999999999999993</v>
      </c>
      <c r="AA68">
        <v>29.4</v>
      </c>
    </row>
    <row r="69" spans="1:27" x14ac:dyDescent="0.3">
      <c r="A69" s="31">
        <v>10</v>
      </c>
      <c r="B69" s="31">
        <f>Tabla13[[#This Row],[Metrica]]/1000</f>
        <v>0.01</v>
      </c>
      <c r="C69" s="31">
        <f>Helicoil!B69/1000</f>
        <v>1.25E-3</v>
      </c>
      <c r="D69" s="61" t="s">
        <v>303</v>
      </c>
      <c r="E69" s="61">
        <f t="shared" si="1"/>
        <v>0.01</v>
      </c>
      <c r="F69" s="61">
        <f>Helicoil!E69/1000</f>
        <v>1.3099999999999999E-2</v>
      </c>
      <c r="G69" s="61">
        <f>Helicoil!F69/1000</f>
        <v>1.21E-2</v>
      </c>
      <c r="H69" s="61">
        <f>Helicoil!G69/1000</f>
        <v>1.2500000000000001E-2</v>
      </c>
      <c r="I69" s="61">
        <f>Helicoil!H69/1000</f>
        <v>1.027E-2</v>
      </c>
      <c r="J69" s="61">
        <f>Helicoil!I69/1000</f>
        <v>1.048E-2</v>
      </c>
      <c r="K69" s="61">
        <f>Helicoil!J69/1000</f>
        <v>1.04E-2</v>
      </c>
      <c r="L69" s="61">
        <f>Helicoil!K69/1000</f>
        <v>1.9399999999999997E-2</v>
      </c>
      <c r="M69" s="61">
        <f>Helicoil!L69/1000</f>
        <v>1.1619999999999998E-2</v>
      </c>
      <c r="N69" s="31">
        <f>Tabla13[[#This Row],[Metrica]]/1000</f>
        <v>0.01</v>
      </c>
      <c r="Y69">
        <v>141</v>
      </c>
      <c r="AA69">
        <v>10.199999999999999</v>
      </c>
    </row>
    <row r="70" spans="1:27" x14ac:dyDescent="0.3">
      <c r="A70" s="31">
        <v>10</v>
      </c>
      <c r="B70" s="31">
        <f>Tabla13[[#This Row],[Metrica]]/1000</f>
        <v>0.01</v>
      </c>
      <c r="C70" s="31">
        <f>Helicoil!B70/1000</f>
        <v>1.25E-3</v>
      </c>
      <c r="D70" s="61" t="s">
        <v>304</v>
      </c>
      <c r="E70" s="61">
        <f t="shared" si="1"/>
        <v>0.01</v>
      </c>
      <c r="F70" s="61">
        <f>Helicoil!E70/1000</f>
        <v>1.6899999999999998E-2</v>
      </c>
      <c r="G70" s="61">
        <f>Helicoil!F70/1000</f>
        <v>1.21E-2</v>
      </c>
      <c r="H70" s="61">
        <f>Helicoil!G70/1000</f>
        <v>1.2500000000000001E-2</v>
      </c>
      <c r="I70" s="61">
        <f>Helicoil!H70/1000</f>
        <v>1.027E-2</v>
      </c>
      <c r="J70" s="61">
        <f>Helicoil!I70/1000</f>
        <v>1.048E-2</v>
      </c>
      <c r="K70" s="61">
        <f>Helicoil!J70/1000</f>
        <v>1.04E-2</v>
      </c>
      <c r="L70" s="61">
        <f>Helicoil!K70/1000</f>
        <v>2.4399999999999998E-2</v>
      </c>
      <c r="M70" s="61">
        <f>Helicoil!L70/1000</f>
        <v>1.1619999999999998E-2</v>
      </c>
      <c r="N70" s="31">
        <f>Tabla13[[#This Row],[Metrica]]/1000</f>
        <v>0.01</v>
      </c>
      <c r="Y70">
        <v>16.899999999999999</v>
      </c>
      <c r="AA70">
        <v>21.2</v>
      </c>
    </row>
    <row r="71" spans="1:27" ht="15" thickBot="1" x14ac:dyDescent="0.35">
      <c r="A71" s="62">
        <v>10</v>
      </c>
      <c r="B71" s="31">
        <f>Tabla13[[#This Row],[Metrica]]/1000</f>
        <v>0.01</v>
      </c>
      <c r="C71" s="31">
        <f>Helicoil!B71/1000</f>
        <v>1.25E-3</v>
      </c>
      <c r="D71" s="61" t="s">
        <v>305</v>
      </c>
      <c r="E71" s="61">
        <f t="shared" si="1"/>
        <v>0.01</v>
      </c>
      <c r="F71" s="61">
        <f>Helicoil!E71/1000</f>
        <v>2.01E-2</v>
      </c>
      <c r="G71" s="61">
        <f>Helicoil!F71/1000</f>
        <v>1.21E-2</v>
      </c>
      <c r="H71" s="61">
        <f>Helicoil!G71/1000</f>
        <v>1.2500000000000001E-2</v>
      </c>
      <c r="I71" s="61">
        <f>Helicoil!H71/1000</f>
        <v>1.027E-2</v>
      </c>
      <c r="J71" s="61">
        <f>Helicoil!I71/1000</f>
        <v>1.048E-2</v>
      </c>
      <c r="K71" s="61">
        <f>Helicoil!J71/1000</f>
        <v>1.04E-2</v>
      </c>
      <c r="L71" s="61">
        <f>Helicoil!K71/1000</f>
        <v>2.9399999999999999E-2</v>
      </c>
      <c r="M71" s="61">
        <f>Helicoil!L71/1000</f>
        <v>1.1619999999999998E-2</v>
      </c>
      <c r="N71" s="31">
        <f>Tabla13[[#This Row],[Metrica]]/1000</f>
        <v>0.01</v>
      </c>
      <c r="Y71">
        <v>46</v>
      </c>
      <c r="AA71">
        <v>26.7</v>
      </c>
    </row>
    <row r="72" spans="1:27" x14ac:dyDescent="0.3">
      <c r="A72" s="31">
        <v>11</v>
      </c>
      <c r="B72" s="31">
        <f>Tabla13[[#This Row],[Metrica]]/1000</f>
        <v>1.0999999999999999E-2</v>
      </c>
      <c r="C72" s="31">
        <f>Helicoil!B72/1000</f>
        <v>1.5E-3</v>
      </c>
      <c r="D72" s="61" t="s">
        <v>301</v>
      </c>
      <c r="E72" s="61">
        <f t="shared" si="1"/>
        <v>1.0999999999999999E-2</v>
      </c>
      <c r="F72" s="61">
        <f>Helicoil!E72/1000</f>
        <v>5.5999999999999999E-3</v>
      </c>
      <c r="G72" s="61">
        <f>Helicoil!F72/1000</f>
        <v>1.3099999999999999E-2</v>
      </c>
      <c r="H72" s="61">
        <f>Helicoil!G72/1000</f>
        <v>1.35E-2</v>
      </c>
      <c r="I72" s="61">
        <f>Helicoil!H72/1000</f>
        <v>1.133E-2</v>
      </c>
      <c r="J72" s="61">
        <f>Helicoil!I72/1000</f>
        <v>1.1560000000000001E-2</v>
      </c>
      <c r="K72" s="61">
        <f>Helicoil!J72/1000</f>
        <v>1.15E-2</v>
      </c>
      <c r="L72" s="61">
        <f>Helicoil!K72/1000</f>
        <v>1.0199999999999999E-2</v>
      </c>
      <c r="M72" s="61">
        <f>Helicoil!L72/1000</f>
        <v>1.295E-2</v>
      </c>
      <c r="N72" s="31">
        <f>Tabla13[[#This Row],[Metrica]]/1000</f>
        <v>1.0999999999999999E-2</v>
      </c>
      <c r="Y72">
        <v>9</v>
      </c>
      <c r="AA72">
        <v>32.200000000000003</v>
      </c>
    </row>
    <row r="73" spans="1:27" x14ac:dyDescent="0.3">
      <c r="A73" s="31">
        <v>11</v>
      </c>
      <c r="B73" s="31">
        <f>Tabla13[[#This Row],[Metrica]]/1000</f>
        <v>1.0999999999999999E-2</v>
      </c>
      <c r="C73" s="31">
        <f>Helicoil!B73/1000</f>
        <v>1.5E-3</v>
      </c>
      <c r="D73" s="61" t="s">
        <v>302</v>
      </c>
      <c r="E73" s="61">
        <f t="shared" si="1"/>
        <v>1.0999999999999999E-2</v>
      </c>
      <c r="F73" s="61">
        <f>Helicoil!E73/1000</f>
        <v>8.9999999999999993E-3</v>
      </c>
      <c r="G73" s="61">
        <f>Helicoil!F73/1000</f>
        <v>1.3099999999999999E-2</v>
      </c>
      <c r="H73" s="61">
        <f>Helicoil!G73/1000</f>
        <v>1.35E-2</v>
      </c>
      <c r="I73" s="61">
        <f>Helicoil!H73/1000</f>
        <v>1.133E-2</v>
      </c>
      <c r="J73" s="61">
        <f>Helicoil!I73/1000</f>
        <v>1.1560000000000001E-2</v>
      </c>
      <c r="K73" s="61">
        <f>Helicoil!J73/1000</f>
        <v>1.15E-2</v>
      </c>
      <c r="L73" s="61">
        <f>Helicoil!K73/1000</f>
        <v>1.5699999999999999E-2</v>
      </c>
      <c r="M73" s="61">
        <f>Helicoil!L73/1000</f>
        <v>1.295E-2</v>
      </c>
      <c r="N73" s="31">
        <f>Tabla13[[#This Row],[Metrica]]/1000</f>
        <v>1.0999999999999999E-2</v>
      </c>
      <c r="Y73">
        <v>143</v>
      </c>
    </row>
    <row r="74" spans="1:27" x14ac:dyDescent="0.3">
      <c r="A74" s="31">
        <v>11</v>
      </c>
      <c r="B74" s="31">
        <f>Tabla13[[#This Row],[Metrica]]/1000</f>
        <v>1.0999999999999999E-2</v>
      </c>
      <c r="C74" s="31">
        <f>Helicoil!B74/1000</f>
        <v>1.5E-3</v>
      </c>
      <c r="D74" s="61" t="s">
        <v>303</v>
      </c>
      <c r="E74" s="61">
        <f t="shared" si="1"/>
        <v>1.0999999999999999E-2</v>
      </c>
      <c r="F74" s="61">
        <f>Helicoil!E74/1000</f>
        <v>1.23E-2</v>
      </c>
      <c r="G74" s="61">
        <f>Helicoil!F74/1000</f>
        <v>1.3099999999999999E-2</v>
      </c>
      <c r="H74" s="61">
        <f>Helicoil!G74/1000</f>
        <v>1.35E-2</v>
      </c>
      <c r="I74" s="61">
        <f>Helicoil!H74/1000</f>
        <v>1.133E-2</v>
      </c>
      <c r="J74" s="61">
        <f>Helicoil!I74/1000</f>
        <v>1.1560000000000001E-2</v>
      </c>
      <c r="K74" s="61">
        <f>Helicoil!J74/1000</f>
        <v>1.15E-2</v>
      </c>
      <c r="L74" s="61">
        <f>Helicoil!K74/1000</f>
        <v>2.12E-2</v>
      </c>
      <c r="M74" s="61">
        <f>Helicoil!L74/1000</f>
        <v>1.295E-2</v>
      </c>
      <c r="N74" s="31">
        <f>Tabla13[[#This Row],[Metrica]]/1000</f>
        <v>1.0999999999999999E-2</v>
      </c>
      <c r="Y74" t="s">
        <v>331</v>
      </c>
    </row>
    <row r="75" spans="1:27" x14ac:dyDescent="0.3">
      <c r="A75" s="31">
        <v>11</v>
      </c>
      <c r="B75" s="31">
        <f>Tabla13[[#This Row],[Metrica]]/1000</f>
        <v>1.0999999999999999E-2</v>
      </c>
      <c r="C75" s="31">
        <f>Helicoil!B75/1000</f>
        <v>1.5E-3</v>
      </c>
      <c r="D75" s="61" t="s">
        <v>304</v>
      </c>
      <c r="E75" s="61">
        <f t="shared" si="1"/>
        <v>1.0999999999999999E-2</v>
      </c>
      <c r="F75" s="61">
        <f>Helicoil!E75/1000</f>
        <v>1.5699999999999999E-2</v>
      </c>
      <c r="G75" s="61">
        <f>Helicoil!F75/1000</f>
        <v>1.3099999999999999E-2</v>
      </c>
      <c r="H75" s="61">
        <f>Helicoil!G75/1000</f>
        <v>1.35E-2</v>
      </c>
      <c r="I75" s="61">
        <f>Helicoil!H75/1000</f>
        <v>1.133E-2</v>
      </c>
      <c r="J75" s="61">
        <f>Helicoil!I75/1000</f>
        <v>1.1560000000000001E-2</v>
      </c>
      <c r="K75" s="61">
        <f>Helicoil!J75/1000</f>
        <v>1.15E-2</v>
      </c>
      <c r="L75" s="61">
        <f>Helicoil!K75/1000</f>
        <v>2.6699999999999998E-2</v>
      </c>
      <c r="M75" s="61">
        <f>Helicoil!L75/1000</f>
        <v>1.295E-2</v>
      </c>
      <c r="N75" s="31">
        <f>Tabla13[[#This Row],[Metrica]]/1000</f>
        <v>1.0999999999999999E-2</v>
      </c>
      <c r="Y75" t="s">
        <v>332</v>
      </c>
    </row>
    <row r="76" spans="1:27" ht="15" thickBot="1" x14ac:dyDescent="0.35">
      <c r="A76" s="62">
        <v>11</v>
      </c>
      <c r="B76" s="31">
        <f>Tabla13[[#This Row],[Metrica]]/1000</f>
        <v>1.0999999999999999E-2</v>
      </c>
      <c r="C76" s="31">
        <f>Helicoil!B76/1000</f>
        <v>1.5E-3</v>
      </c>
      <c r="D76" s="61" t="s">
        <v>305</v>
      </c>
      <c r="E76" s="61">
        <f t="shared" si="1"/>
        <v>1.0999999999999999E-2</v>
      </c>
      <c r="F76" s="61">
        <f>Helicoil!E76/1000</f>
        <v>1.9100000000000002E-2</v>
      </c>
      <c r="G76" s="61">
        <f>Helicoil!F76/1000</f>
        <v>1.3099999999999999E-2</v>
      </c>
      <c r="H76" s="61">
        <f>Helicoil!G76/1000</f>
        <v>1.35E-2</v>
      </c>
      <c r="I76" s="61">
        <f>Helicoil!H76/1000</f>
        <v>1.133E-2</v>
      </c>
      <c r="J76" s="61">
        <f>Helicoil!I76/1000</f>
        <v>1.1560000000000001E-2</v>
      </c>
      <c r="K76" s="61">
        <f>Helicoil!J76/1000</f>
        <v>1.15E-2</v>
      </c>
      <c r="L76" s="61">
        <f>Helicoil!K76/1000</f>
        <v>3.2199999999999999E-2</v>
      </c>
      <c r="M76" s="61">
        <f>Helicoil!L76/1000</f>
        <v>1.295E-2</v>
      </c>
      <c r="N76" s="31">
        <f>Tabla13[[#This Row],[Metrica]]/1000</f>
        <v>1.0999999999999999E-2</v>
      </c>
      <c r="Y76">
        <v>8.4</v>
      </c>
    </row>
    <row r="77" spans="1:27" x14ac:dyDescent="0.3">
      <c r="A77" s="31">
        <v>12</v>
      </c>
      <c r="B77" s="31">
        <f>Tabla13[[#This Row],[Metrica]]/1000</f>
        <v>1.2E-2</v>
      </c>
      <c r="C77" s="31">
        <f>Helicoil!B77/1000</f>
        <v>1.75E-3</v>
      </c>
      <c r="D77" s="61" t="s">
        <v>301</v>
      </c>
      <c r="E77" s="61">
        <f t="shared" si="1"/>
        <v>1.2E-2</v>
      </c>
      <c r="F77" s="61">
        <f>Helicoil!E77/1000</f>
        <v>5.1999999999999998E-3</v>
      </c>
      <c r="G77" s="61">
        <f>Helicoil!F77/1000</f>
        <v>1.44E-2</v>
      </c>
      <c r="H77" s="61">
        <f>Helicoil!G77/1000</f>
        <v>1.4800000000000001E-2</v>
      </c>
      <c r="I77" s="61">
        <f>Helicoil!H77/1000</f>
        <v>1.238E-2</v>
      </c>
      <c r="J77" s="61">
        <f>Helicoil!I77/1000</f>
        <v>1.264E-2</v>
      </c>
      <c r="K77" s="61">
        <f>Helicoil!J77/1000</f>
        <v>1.2500000000000001E-2</v>
      </c>
      <c r="L77" s="61">
        <f>Helicoil!K77/1000</f>
        <v>1.11E-2</v>
      </c>
      <c r="M77" s="61">
        <f>Helicoil!L77/1000</f>
        <v>1.427E-2</v>
      </c>
      <c r="N77" s="31">
        <f>Tabla13[[#This Row],[Metrica]]/1000</f>
        <v>1.2E-2</v>
      </c>
      <c r="Y77" t="s">
        <v>333</v>
      </c>
    </row>
    <row r="78" spans="1:27" x14ac:dyDescent="0.3">
      <c r="A78" s="31">
        <v>12</v>
      </c>
      <c r="B78" s="31">
        <f>Tabla13[[#This Row],[Metrica]]/1000</f>
        <v>1.2E-2</v>
      </c>
      <c r="C78" s="31">
        <f>Helicoil!B78/1000</f>
        <v>1.75E-3</v>
      </c>
      <c r="D78" s="61" t="s">
        <v>302</v>
      </c>
      <c r="E78" s="61">
        <f t="shared" si="1"/>
        <v>1.2E-2</v>
      </c>
      <c r="F78" s="61">
        <f>Helicoil!E78/1000</f>
        <v>8.4000000000000012E-3</v>
      </c>
      <c r="G78" s="61">
        <f>Helicoil!F78/1000</f>
        <v>1.44E-2</v>
      </c>
      <c r="H78" s="61">
        <f>Helicoil!G78/1000</f>
        <v>1.4800000000000001E-2</v>
      </c>
      <c r="I78" s="61">
        <f>Helicoil!H78/1000</f>
        <v>1.238E-2</v>
      </c>
      <c r="J78" s="61">
        <f>Helicoil!I78/1000</f>
        <v>1.264E-2</v>
      </c>
      <c r="K78" s="61">
        <f>Helicoil!J78/1000</f>
        <v>1.2500000000000001E-2</v>
      </c>
      <c r="L78" s="61">
        <f>Helicoil!K78/1000</f>
        <v>1.7100000000000001E-2</v>
      </c>
      <c r="M78" s="61">
        <f>Helicoil!L78/1000</f>
        <v>1.427E-2</v>
      </c>
      <c r="N78" s="31">
        <f>Tabla13[[#This Row],[Metrica]]/1000</f>
        <v>1.2E-2</v>
      </c>
      <c r="Y78">
        <v>14.7</v>
      </c>
    </row>
    <row r="79" spans="1:27" x14ac:dyDescent="0.3">
      <c r="A79" s="31">
        <v>12</v>
      </c>
      <c r="B79" s="31">
        <f>Tabla13[[#This Row],[Metrica]]/1000</f>
        <v>1.2E-2</v>
      </c>
      <c r="C79" s="31">
        <f>Helicoil!B79/1000</f>
        <v>1.75E-3</v>
      </c>
      <c r="D79" s="61" t="s">
        <v>303</v>
      </c>
      <c r="E79" s="61">
        <f t="shared" si="1"/>
        <v>1.2E-2</v>
      </c>
      <c r="F79" s="61">
        <f>Helicoil!E79/1000</f>
        <v>1.1699999999999999E-2</v>
      </c>
      <c r="G79" s="61">
        <f>Helicoil!F79/1000</f>
        <v>1.44E-2</v>
      </c>
      <c r="H79" s="61">
        <f>Helicoil!G79/1000</f>
        <v>1.4800000000000001E-2</v>
      </c>
      <c r="I79" s="61">
        <f>Helicoil!H79/1000</f>
        <v>1.238E-2</v>
      </c>
      <c r="J79" s="61">
        <f>Helicoil!I79/1000</f>
        <v>1.264E-2</v>
      </c>
      <c r="K79" s="61">
        <f>Helicoil!J79/1000</f>
        <v>1.2500000000000001E-2</v>
      </c>
      <c r="L79" s="61">
        <f>Helicoil!K79/1000</f>
        <v>2.3100000000000002E-2</v>
      </c>
      <c r="M79" s="61">
        <f>Helicoil!L79/1000</f>
        <v>1.427E-2</v>
      </c>
      <c r="N79" s="31">
        <f>Tabla13[[#This Row],[Metrica]]/1000</f>
        <v>1.2E-2</v>
      </c>
      <c r="Y79" t="s">
        <v>334</v>
      </c>
    </row>
    <row r="80" spans="1:27" x14ac:dyDescent="0.3">
      <c r="A80" s="31">
        <v>12</v>
      </c>
      <c r="B80" s="31">
        <f>Tabla13[[#This Row],[Metrica]]/1000</f>
        <v>1.2E-2</v>
      </c>
      <c r="C80" s="31">
        <f>Helicoil!B80/1000</f>
        <v>1.75E-3</v>
      </c>
      <c r="D80" s="61" t="s">
        <v>304</v>
      </c>
      <c r="E80" s="61">
        <f t="shared" si="1"/>
        <v>1.2E-2</v>
      </c>
      <c r="F80" s="61">
        <f>Helicoil!E80/1000</f>
        <v>1.47E-2</v>
      </c>
      <c r="G80" s="61">
        <f>Helicoil!F80/1000</f>
        <v>1.44E-2</v>
      </c>
      <c r="H80" s="61">
        <f>Helicoil!G80/1000</f>
        <v>1.4800000000000001E-2</v>
      </c>
      <c r="I80" s="61">
        <f>Helicoil!H80/1000</f>
        <v>1.238E-2</v>
      </c>
      <c r="J80" s="61">
        <f>Helicoil!I80/1000</f>
        <v>1.264E-2</v>
      </c>
      <c r="K80" s="61">
        <f>Helicoil!J80/1000</f>
        <v>1.2500000000000001E-2</v>
      </c>
      <c r="L80" s="61">
        <f>Helicoil!K80/1000</f>
        <v>2.9100000000000001E-2</v>
      </c>
      <c r="M80" s="61">
        <f>Helicoil!L80/1000</f>
        <v>1.427E-2</v>
      </c>
      <c r="N80" s="31">
        <f>Tabla13[[#This Row],[Metrica]]/1000</f>
        <v>1.2E-2</v>
      </c>
      <c r="Y80">
        <v>14.5</v>
      </c>
    </row>
    <row r="81" spans="1:25" x14ac:dyDescent="0.3">
      <c r="A81" s="31">
        <v>12</v>
      </c>
      <c r="B81" s="31">
        <f>Tabla13[[#This Row],[Metrica]]/1000</f>
        <v>1.2E-2</v>
      </c>
      <c r="C81" s="31">
        <f>Helicoil!B81/1000</f>
        <v>1.75E-3</v>
      </c>
      <c r="D81" s="61" t="s">
        <v>305</v>
      </c>
      <c r="E81" s="61">
        <f t="shared" si="1"/>
        <v>1.2E-2</v>
      </c>
      <c r="F81" s="61">
        <f>Helicoil!E81/1000</f>
        <v>1.7999999999999999E-2</v>
      </c>
      <c r="G81" s="61">
        <f>Helicoil!F81/1000</f>
        <v>1.44E-2</v>
      </c>
      <c r="H81" s="61">
        <f>Helicoil!G81/1000</f>
        <v>1.4800000000000001E-2</v>
      </c>
      <c r="I81" s="61">
        <f>Helicoil!H81/1000</f>
        <v>1.238E-2</v>
      </c>
      <c r="J81" s="61">
        <f>Helicoil!I81/1000</f>
        <v>1.264E-2</v>
      </c>
      <c r="K81" s="61">
        <f>Helicoil!J81/1000</f>
        <v>1.2500000000000001E-2</v>
      </c>
      <c r="L81" s="61">
        <f>Helicoil!K81/1000</f>
        <v>3.5099999999999999E-2</v>
      </c>
      <c r="M81" s="61">
        <f>Helicoil!L81/1000</f>
        <v>1.427E-2</v>
      </c>
      <c r="N81" s="31">
        <f>Tabla13[[#This Row],[Metrica]]/1000</f>
        <v>1.2E-2</v>
      </c>
      <c r="Y81" t="s">
        <v>335</v>
      </c>
    </row>
    <row r="82" spans="1:25" x14ac:dyDescent="0.3">
      <c r="A82" s="31">
        <v>12</v>
      </c>
      <c r="B82" s="31">
        <f>Tabla13[[#This Row],[Metrica]]/1000</f>
        <v>1.2E-2</v>
      </c>
      <c r="C82" s="31">
        <f>Helicoil!B82/1000</f>
        <v>1E-3</v>
      </c>
      <c r="D82" s="61" t="s">
        <v>301</v>
      </c>
      <c r="E82" s="61">
        <f t="shared" si="1"/>
        <v>1.2E-2</v>
      </c>
      <c r="F82" s="61">
        <f>Helicoil!E82/1000</f>
        <v>9.300000000000001E-3</v>
      </c>
      <c r="G82" s="61">
        <f>Helicoil!F82/1000</f>
        <v>1.44E-2</v>
      </c>
      <c r="H82" s="61">
        <f>Helicoil!G82/1000</f>
        <v>1.4800000000000001E-2</v>
      </c>
      <c r="I82" s="61">
        <f>Helicoil!H82/1000</f>
        <v>1.222E-2</v>
      </c>
      <c r="J82" s="61">
        <f>Helicoil!I82/1000</f>
        <v>1.2410000000000001E-2</v>
      </c>
      <c r="K82" s="61">
        <f>Helicoil!J82/1000</f>
        <v>1.225E-2</v>
      </c>
      <c r="L82" s="61">
        <f>Helicoil!K82/1000</f>
        <v>1.15E-2</v>
      </c>
      <c r="M82" s="61">
        <f>Helicoil!L82/1000</f>
        <v>1.3300000000000001E-2</v>
      </c>
      <c r="N82" s="31">
        <f>Tabla13[[#This Row],[Metrica]]/1000</f>
        <v>1.2E-2</v>
      </c>
      <c r="Y82">
        <v>24.8</v>
      </c>
    </row>
    <row r="83" spans="1:25" x14ac:dyDescent="0.3">
      <c r="A83" s="31"/>
      <c r="B83" s="31">
        <f>Tabla13[[#This Row],[Metrica]]/1000</f>
        <v>0</v>
      </c>
      <c r="C83" s="31">
        <f>Helicoil!B83/1000</f>
        <v>1E-3</v>
      </c>
      <c r="D83" s="61" t="s">
        <v>302</v>
      </c>
      <c r="E83" s="61">
        <f t="shared" si="1"/>
        <v>0</v>
      </c>
      <c r="F83" s="61">
        <f>Helicoil!E83/1000</f>
        <v>1.4500000000000001E-2</v>
      </c>
      <c r="G83" s="61">
        <f>Helicoil!F83/1000</f>
        <v>1.44E-2</v>
      </c>
      <c r="H83" s="61">
        <f>Helicoil!G83/1000</f>
        <v>1.4800000000000001E-2</v>
      </c>
      <c r="I83" s="61">
        <f>Helicoil!H83/1000</f>
        <v>1.222E-2</v>
      </c>
      <c r="J83" s="61">
        <f>Helicoil!I83/1000</f>
        <v>1.2410000000000001E-2</v>
      </c>
      <c r="K83" s="61">
        <f>Helicoil!J83/1000</f>
        <v>1.225E-2</v>
      </c>
      <c r="L83" s="61">
        <f>Helicoil!K83/1000</f>
        <v>1.7500000000000002E-2</v>
      </c>
      <c r="M83" s="61">
        <f>Helicoil!L83/1000</f>
        <v>1.3300000000000001E-2</v>
      </c>
      <c r="N83" s="31">
        <f>Tabla13[[#This Row],[Metrica]]/1000</f>
        <v>0</v>
      </c>
      <c r="Y83" t="s">
        <v>336</v>
      </c>
    </row>
    <row r="84" spans="1:25" x14ac:dyDescent="0.3">
      <c r="A84" s="31"/>
      <c r="B84" s="31">
        <f>Tabla13[[#This Row],[Metrica]]/1000</f>
        <v>0</v>
      </c>
      <c r="C84" s="31">
        <f>Helicoil!B84/1000</f>
        <v>1E-3</v>
      </c>
      <c r="D84" s="61" t="s">
        <v>303</v>
      </c>
      <c r="E84" s="61">
        <f t="shared" si="1"/>
        <v>0</v>
      </c>
      <c r="F84" s="61">
        <f>Helicoil!E84/1000</f>
        <v>1.95E-2</v>
      </c>
      <c r="G84" s="61">
        <f>Helicoil!F84/1000</f>
        <v>1.44E-2</v>
      </c>
      <c r="H84" s="61">
        <f>Helicoil!G84/1000</f>
        <v>1.4800000000000001E-2</v>
      </c>
      <c r="I84" s="61">
        <f>Helicoil!H84/1000</f>
        <v>1.222E-2</v>
      </c>
      <c r="J84" s="61">
        <f>Helicoil!I84/1000</f>
        <v>1.2410000000000001E-2</v>
      </c>
      <c r="K84" s="61">
        <f>Helicoil!J84/1000</f>
        <v>1.225E-2</v>
      </c>
      <c r="L84" s="61">
        <f>Helicoil!K84/1000</f>
        <v>2.35E-2</v>
      </c>
      <c r="M84" s="61">
        <f>Helicoil!L84/1000</f>
        <v>1.3300000000000001E-2</v>
      </c>
      <c r="N84" s="31">
        <f>Tabla13[[#This Row],[Metrica]]/1000</f>
        <v>0</v>
      </c>
      <c r="Y84">
        <v>11.6</v>
      </c>
    </row>
    <row r="85" spans="1:25" x14ac:dyDescent="0.3">
      <c r="A85" s="31"/>
      <c r="B85" s="31">
        <f>Tabla13[[#This Row],[Metrica]]/1000</f>
        <v>0</v>
      </c>
      <c r="C85" s="31">
        <f>Helicoil!B85/1000</f>
        <v>1E-3</v>
      </c>
      <c r="D85" s="61" t="s">
        <v>304</v>
      </c>
      <c r="E85" s="61">
        <f t="shared" si="1"/>
        <v>0</v>
      </c>
      <c r="F85" s="61">
        <f>Helicoil!E85/1000</f>
        <v>2.4799999999999999E-2</v>
      </c>
      <c r="G85" s="61">
        <f>Helicoil!F85/1000</f>
        <v>1.44E-2</v>
      </c>
      <c r="H85" s="61">
        <f>Helicoil!G85/1000</f>
        <v>1.4800000000000001E-2</v>
      </c>
      <c r="I85" s="61">
        <f>Helicoil!H85/1000</f>
        <v>1.222E-2</v>
      </c>
      <c r="J85" s="61">
        <f>Helicoil!I85/1000</f>
        <v>1.2410000000000001E-2</v>
      </c>
      <c r="K85" s="61">
        <f>Helicoil!J85/1000</f>
        <v>1.225E-2</v>
      </c>
      <c r="L85" s="61">
        <f>Helicoil!K85/1000</f>
        <v>2.9499999999999998E-2</v>
      </c>
      <c r="M85" s="61">
        <f>Helicoil!L85/1000</f>
        <v>1.3300000000000001E-2</v>
      </c>
      <c r="N85" s="31">
        <f>Tabla13[[#This Row],[Metrica]]/1000</f>
        <v>0</v>
      </c>
      <c r="Y85" t="s">
        <v>337</v>
      </c>
    </row>
    <row r="86" spans="1:25" x14ac:dyDescent="0.3">
      <c r="A86" s="31"/>
      <c r="B86" s="31">
        <f>Tabla13[[#This Row],[Metrica]]/1000</f>
        <v>0</v>
      </c>
      <c r="C86" s="31">
        <f>Helicoil!B86/1000</f>
        <v>1E-3</v>
      </c>
      <c r="D86" s="61" t="s">
        <v>305</v>
      </c>
      <c r="E86" s="61">
        <f t="shared" si="1"/>
        <v>0</v>
      </c>
      <c r="F86" s="61">
        <f>Helicoil!E86/1000</f>
        <v>0.03</v>
      </c>
      <c r="G86" s="61">
        <f>Helicoil!F86/1000</f>
        <v>1.44E-2</v>
      </c>
      <c r="H86" s="61">
        <f>Helicoil!G86/1000</f>
        <v>1.4800000000000001E-2</v>
      </c>
      <c r="I86" s="61">
        <f>Helicoil!H86/1000</f>
        <v>1.222E-2</v>
      </c>
      <c r="J86" s="61">
        <f>Helicoil!I86/1000</f>
        <v>1.2410000000000001E-2</v>
      </c>
      <c r="K86" s="61">
        <f>Helicoil!J86/1000</f>
        <v>1.225E-2</v>
      </c>
      <c r="L86" s="61">
        <f>Helicoil!K86/1000</f>
        <v>3.5499999999999997E-2</v>
      </c>
      <c r="M86" s="61">
        <f>Helicoil!L86/1000</f>
        <v>1.3300000000000001E-2</v>
      </c>
      <c r="N86" s="31">
        <f>Tabla13[[#This Row],[Metrica]]/1000</f>
        <v>0</v>
      </c>
      <c r="Y86">
        <v>20</v>
      </c>
    </row>
    <row r="87" spans="1:25" x14ac:dyDescent="0.3">
      <c r="A87" s="31">
        <v>12</v>
      </c>
      <c r="B87" s="31">
        <f>Tabla13[[#This Row],[Metrica]]/1000</f>
        <v>1.2E-2</v>
      </c>
      <c r="C87" s="31">
        <f>Helicoil!B87/1000</f>
        <v>1.25E-3</v>
      </c>
      <c r="D87" s="61" t="s">
        <v>301</v>
      </c>
      <c r="E87" s="61">
        <f t="shared" si="1"/>
        <v>1.2E-2</v>
      </c>
      <c r="F87" s="61">
        <f>Helicoil!E87/1000</f>
        <v>7.4000000000000003E-3</v>
      </c>
      <c r="G87" s="61">
        <f>Helicoil!F87/1000</f>
        <v>1.44E-2</v>
      </c>
      <c r="H87" s="61">
        <f>Helicoil!G87/1000</f>
        <v>1.4800000000000001E-2</v>
      </c>
      <c r="I87" s="61">
        <f>Helicoil!H87/1000</f>
        <v>1.227E-2</v>
      </c>
      <c r="J87" s="61">
        <f>Helicoil!I87/1000</f>
        <v>1.248E-2</v>
      </c>
      <c r="K87" s="61">
        <f>Helicoil!J87/1000</f>
        <v>1.225E-2</v>
      </c>
      <c r="L87" s="61">
        <f>Helicoil!K87/1000</f>
        <v>1.14E-2</v>
      </c>
      <c r="M87" s="61">
        <f>Helicoil!L87/1000</f>
        <v>1.3619999999999998E-2</v>
      </c>
      <c r="N87" s="31">
        <f>Tabla13[[#This Row],[Metrica]]/1000</f>
        <v>1.2E-2</v>
      </c>
      <c r="Y87" t="s">
        <v>338</v>
      </c>
    </row>
    <row r="88" spans="1:25" x14ac:dyDescent="0.3">
      <c r="A88" s="31"/>
      <c r="B88" s="31">
        <f>Tabla13[[#This Row],[Metrica]]/1000</f>
        <v>0</v>
      </c>
      <c r="C88" s="31">
        <f>Helicoil!B88/1000</f>
        <v>1.25E-3</v>
      </c>
      <c r="D88" s="61" t="s">
        <v>302</v>
      </c>
      <c r="E88" s="61">
        <f t="shared" si="1"/>
        <v>0</v>
      </c>
      <c r="F88" s="61">
        <f>Helicoil!E88/1000</f>
        <v>1.1599999999999999E-2</v>
      </c>
      <c r="G88" s="61">
        <f>Helicoil!F88/1000</f>
        <v>1.44E-2</v>
      </c>
      <c r="H88" s="61">
        <f>Helicoil!G88/1000</f>
        <v>1.4800000000000001E-2</v>
      </c>
      <c r="I88" s="61">
        <f>Helicoil!H88/1000</f>
        <v>1.227E-2</v>
      </c>
      <c r="J88" s="61">
        <f>Helicoil!I88/1000</f>
        <v>1.248E-2</v>
      </c>
      <c r="K88" s="61">
        <f>Helicoil!J88/1000</f>
        <v>1.225E-2</v>
      </c>
      <c r="L88" s="61">
        <f>Helicoil!K88/1000</f>
        <v>1.7399999999999999E-2</v>
      </c>
      <c r="M88" s="61">
        <f>Helicoil!L88/1000</f>
        <v>1.3619999999999998E-2</v>
      </c>
      <c r="N88" s="31">
        <f>Tabla13[[#This Row],[Metrica]]/1000</f>
        <v>0</v>
      </c>
      <c r="Y88">
        <v>62</v>
      </c>
    </row>
    <row r="89" spans="1:25" x14ac:dyDescent="0.3">
      <c r="A89" s="31"/>
      <c r="B89" s="31">
        <f>Tabla13[[#This Row],[Metrica]]/1000</f>
        <v>0</v>
      </c>
      <c r="C89" s="31">
        <f>Helicoil!B89/1000</f>
        <v>1.25E-3</v>
      </c>
      <c r="D89" s="61" t="s">
        <v>303</v>
      </c>
      <c r="E89" s="61">
        <f t="shared" si="1"/>
        <v>0</v>
      </c>
      <c r="F89" s="61">
        <f>Helicoil!E89/1000</f>
        <v>1.5900000000000001E-2</v>
      </c>
      <c r="G89" s="61">
        <f>Helicoil!F89/1000</f>
        <v>1.44E-2</v>
      </c>
      <c r="H89" s="61">
        <f>Helicoil!G89/1000</f>
        <v>1.4800000000000001E-2</v>
      </c>
      <c r="I89" s="61">
        <f>Helicoil!H89/1000</f>
        <v>1.227E-2</v>
      </c>
      <c r="J89" s="61">
        <f>Helicoil!I89/1000</f>
        <v>1.248E-2</v>
      </c>
      <c r="K89" s="61">
        <f>Helicoil!J89/1000</f>
        <v>1.225E-2</v>
      </c>
      <c r="L89" s="61">
        <f>Helicoil!K89/1000</f>
        <v>2.3399999999999997E-2</v>
      </c>
      <c r="M89" s="61">
        <f>Helicoil!L89/1000</f>
        <v>1.3619999999999998E-2</v>
      </c>
      <c r="N89" s="31">
        <f>Tabla13[[#This Row],[Metrica]]/1000</f>
        <v>0</v>
      </c>
      <c r="Y89">
        <v>9.8000000000000007</v>
      </c>
    </row>
    <row r="90" spans="1:25" x14ac:dyDescent="0.3">
      <c r="A90" s="31"/>
      <c r="B90" s="31">
        <f>Tabla13[[#This Row],[Metrica]]/1000</f>
        <v>0</v>
      </c>
      <c r="C90" s="31">
        <f>Helicoil!B90/1000</f>
        <v>1.25E-3</v>
      </c>
      <c r="D90" s="61" t="s">
        <v>304</v>
      </c>
      <c r="E90" s="61">
        <f t="shared" si="1"/>
        <v>0</v>
      </c>
      <c r="F90" s="61">
        <f>Helicoil!E90/1000</f>
        <v>0.02</v>
      </c>
      <c r="G90" s="61">
        <f>Helicoil!F90/1000</f>
        <v>1.44E-2</v>
      </c>
      <c r="H90" s="61">
        <f>Helicoil!G90/1000</f>
        <v>1.4800000000000001E-2</v>
      </c>
      <c r="I90" s="61">
        <f>Helicoil!H90/1000</f>
        <v>1.227E-2</v>
      </c>
      <c r="J90" s="61">
        <f>Helicoil!I90/1000</f>
        <v>1.248E-2</v>
      </c>
      <c r="K90" s="61">
        <f>Helicoil!J90/1000</f>
        <v>1.225E-2</v>
      </c>
      <c r="L90" s="61">
        <f>Helicoil!K90/1000</f>
        <v>2.9399999999999999E-2</v>
      </c>
      <c r="M90" s="61">
        <f>Helicoil!L90/1000</f>
        <v>1.3619999999999998E-2</v>
      </c>
      <c r="N90" s="31">
        <f>Tabla13[[#This Row],[Metrica]]/1000</f>
        <v>0</v>
      </c>
      <c r="Y90" t="s">
        <v>329</v>
      </c>
    </row>
    <row r="91" spans="1:25" ht="15" thickBot="1" x14ac:dyDescent="0.35">
      <c r="A91" s="62"/>
      <c r="B91" s="31">
        <f>Tabla13[[#This Row],[Metrica]]/1000</f>
        <v>0</v>
      </c>
      <c r="C91" s="31">
        <f>Helicoil!B91/1000</f>
        <v>1.25E-3</v>
      </c>
      <c r="D91" s="61" t="s">
        <v>305</v>
      </c>
      <c r="E91" s="61">
        <f t="shared" si="1"/>
        <v>0</v>
      </c>
      <c r="F91" s="61">
        <f>Helicoil!E91/1000</f>
        <v>2.4300000000000002E-2</v>
      </c>
      <c r="G91" s="61">
        <f>Helicoil!F91/1000</f>
        <v>1.44E-2</v>
      </c>
      <c r="H91" s="61">
        <f>Helicoil!G91/1000</f>
        <v>1.4800000000000001E-2</v>
      </c>
      <c r="I91" s="61">
        <f>Helicoil!H91/1000</f>
        <v>1.227E-2</v>
      </c>
      <c r="J91" s="61">
        <f>Helicoil!I91/1000</f>
        <v>1.248E-2</v>
      </c>
      <c r="K91" s="61">
        <f>Helicoil!J91/1000</f>
        <v>1.225E-2</v>
      </c>
      <c r="L91" s="61">
        <f>Helicoil!K91/1000</f>
        <v>3.5400000000000001E-2</v>
      </c>
      <c r="M91" s="61">
        <f>Helicoil!L91/1000</f>
        <v>1.3619999999999998E-2</v>
      </c>
      <c r="N91" s="31">
        <f>Tabla13[[#This Row],[Metrica]]/1000</f>
        <v>0</v>
      </c>
      <c r="Y91" t="s">
        <v>339</v>
      </c>
    </row>
    <row r="92" spans="1:25" x14ac:dyDescent="0.3">
      <c r="A92" s="31">
        <v>12</v>
      </c>
      <c r="B92" s="31">
        <f>Tabla13[[#This Row],[Metrica]]/1000</f>
        <v>1.2E-2</v>
      </c>
      <c r="C92" s="31">
        <f>Helicoil!B92/1000</f>
        <v>1.5E-3</v>
      </c>
      <c r="D92" s="61" t="s">
        <v>301</v>
      </c>
      <c r="E92" s="61">
        <f t="shared" si="1"/>
        <v>1.2E-2</v>
      </c>
      <c r="F92" s="61">
        <f>Helicoil!E92/1000</f>
        <v>6.1999999999999998E-3</v>
      </c>
      <c r="G92" s="61">
        <f>Helicoil!F92/1000</f>
        <v>1.44E-2</v>
      </c>
      <c r="H92" s="61">
        <f>Helicoil!G92/1000</f>
        <v>1.4800000000000001E-2</v>
      </c>
      <c r="I92" s="61">
        <f>Helicoil!H92/1000</f>
        <v>1.2320000000000001E-2</v>
      </c>
      <c r="J92" s="61">
        <f>Helicoil!I92/1000</f>
        <v>1.256E-2</v>
      </c>
      <c r="K92" s="61">
        <f>Helicoil!J92/1000</f>
        <v>1.2500000000000001E-2</v>
      </c>
      <c r="L92" s="61">
        <f>Helicoil!K92/1000</f>
        <v>1.12E-2</v>
      </c>
      <c r="M92" s="61">
        <f>Helicoil!L92/1000</f>
        <v>1.3949999999999999E-2</v>
      </c>
      <c r="N92" s="31">
        <f>Tabla13[[#This Row],[Metrica]]/1000</f>
        <v>1.2E-2</v>
      </c>
    </row>
    <row r="93" spans="1:25" x14ac:dyDescent="0.3">
      <c r="A93" s="31"/>
      <c r="B93" s="31">
        <f>Tabla13[[#This Row],[Metrica]]/1000</f>
        <v>0</v>
      </c>
      <c r="C93" s="31">
        <f>Helicoil!B93/1000</f>
        <v>1.5E-3</v>
      </c>
      <c r="D93" s="61" t="s">
        <v>302</v>
      </c>
      <c r="E93" s="61">
        <f t="shared" si="1"/>
        <v>0</v>
      </c>
      <c r="F93" s="61">
        <f>Helicoil!E93/1000</f>
        <v>9.8000000000000014E-3</v>
      </c>
      <c r="G93" s="61">
        <f>Helicoil!F93/1000</f>
        <v>1.44E-2</v>
      </c>
      <c r="H93" s="61">
        <f>Helicoil!G93/1000</f>
        <v>1.4800000000000001E-2</v>
      </c>
      <c r="I93" s="61">
        <f>Helicoil!H93/1000</f>
        <v>1.2320000000000001E-2</v>
      </c>
      <c r="J93" s="61">
        <f>Helicoil!I93/1000</f>
        <v>1.256E-2</v>
      </c>
      <c r="K93" s="61">
        <f>Helicoil!J93/1000</f>
        <v>1.2500000000000001E-2</v>
      </c>
      <c r="L93" s="61">
        <f>Helicoil!K93/1000</f>
        <v>1.72E-2</v>
      </c>
      <c r="M93" s="61">
        <f>Helicoil!L93/1000</f>
        <v>1.3949999999999999E-2</v>
      </c>
      <c r="N93" s="31">
        <f>Tabla13[[#This Row],[Metrica]]/1000</f>
        <v>0</v>
      </c>
    </row>
    <row r="94" spans="1:25" x14ac:dyDescent="0.3">
      <c r="A94" s="31"/>
      <c r="B94" s="31">
        <f>Tabla13[[#This Row],[Metrica]]/1000</f>
        <v>0</v>
      </c>
      <c r="C94" s="31">
        <f>Helicoil!B94/1000</f>
        <v>1.5E-3</v>
      </c>
      <c r="D94" s="61" t="s">
        <v>303</v>
      </c>
      <c r="E94" s="61">
        <f t="shared" si="1"/>
        <v>0</v>
      </c>
      <c r="F94" s="61">
        <f>Helicoil!E94/1000</f>
        <v>1.35E-2</v>
      </c>
      <c r="G94" s="61">
        <f>Helicoil!F94/1000</f>
        <v>1.44E-2</v>
      </c>
      <c r="H94" s="61">
        <f>Helicoil!G94/1000</f>
        <v>1.4800000000000001E-2</v>
      </c>
      <c r="I94" s="61">
        <f>Helicoil!H94/1000</f>
        <v>1.2320000000000001E-2</v>
      </c>
      <c r="J94" s="61">
        <f>Helicoil!I94/1000</f>
        <v>1.256E-2</v>
      </c>
      <c r="K94" s="61">
        <f>Helicoil!J94/1000</f>
        <v>1.2500000000000001E-2</v>
      </c>
      <c r="L94" s="61">
        <f>Helicoil!K94/1000</f>
        <v>2.3199999999999998E-2</v>
      </c>
      <c r="M94" s="61">
        <f>Helicoil!L94/1000</f>
        <v>1.3949999999999999E-2</v>
      </c>
      <c r="N94" s="31">
        <f>Tabla13[[#This Row],[Metrica]]/1000</f>
        <v>0</v>
      </c>
    </row>
    <row r="95" spans="1:25" x14ac:dyDescent="0.3">
      <c r="A95" s="31"/>
      <c r="B95" s="31">
        <f>Tabla13[[#This Row],[Metrica]]/1000</f>
        <v>0</v>
      </c>
      <c r="C95" s="31">
        <f>Helicoil!B95/1000</f>
        <v>1.5E-3</v>
      </c>
      <c r="D95" s="61" t="s">
        <v>304</v>
      </c>
      <c r="E95" s="61">
        <f t="shared" si="1"/>
        <v>0</v>
      </c>
      <c r="F95" s="61">
        <f>Helicoil!E95/1000</f>
        <v>1.7100000000000001E-2</v>
      </c>
      <c r="G95" s="61">
        <f>Helicoil!F95/1000</f>
        <v>1.44E-2</v>
      </c>
      <c r="H95" s="61">
        <f>Helicoil!G95/1000</f>
        <v>1.4800000000000001E-2</v>
      </c>
      <c r="I95" s="61">
        <f>Helicoil!H95/1000</f>
        <v>1.2320000000000001E-2</v>
      </c>
      <c r="J95" s="61">
        <f>Helicoil!I95/1000</f>
        <v>1.256E-2</v>
      </c>
      <c r="K95" s="61">
        <f>Helicoil!J95/1000</f>
        <v>1.2500000000000001E-2</v>
      </c>
      <c r="L95" s="61">
        <f>Helicoil!K95/1000</f>
        <v>2.92E-2</v>
      </c>
      <c r="M95" s="61">
        <f>Helicoil!L95/1000</f>
        <v>1.3949999999999999E-2</v>
      </c>
      <c r="N95" s="31">
        <f>Tabla13[[#This Row],[Metrica]]/1000</f>
        <v>0</v>
      </c>
    </row>
    <row r="96" spans="1:25" ht="15" thickBot="1" x14ac:dyDescent="0.35">
      <c r="A96" s="62"/>
      <c r="B96" s="31">
        <f>Tabla13[[#This Row],[Metrica]]/1000</f>
        <v>0</v>
      </c>
      <c r="C96" s="31">
        <f>Helicoil!B96/1000</f>
        <v>1.5E-3</v>
      </c>
      <c r="D96" s="61" t="s">
        <v>305</v>
      </c>
      <c r="E96" s="61">
        <f t="shared" si="1"/>
        <v>0</v>
      </c>
      <c r="F96" s="61">
        <f>Helicoil!E96/1000</f>
        <v>2.0799999999999999E-2</v>
      </c>
      <c r="G96" s="61">
        <f>Helicoil!F96/1000</f>
        <v>1.44E-2</v>
      </c>
      <c r="H96" s="61">
        <f>Helicoil!G96/1000</f>
        <v>1.4800000000000001E-2</v>
      </c>
      <c r="I96" s="61">
        <f>Helicoil!H96/1000</f>
        <v>1.2320000000000001E-2</v>
      </c>
      <c r="J96" s="61">
        <f>Helicoil!I96/1000</f>
        <v>1.256E-2</v>
      </c>
      <c r="K96" s="61">
        <f>Helicoil!J96/1000</f>
        <v>1.2500000000000001E-2</v>
      </c>
      <c r="L96" s="61">
        <f>Helicoil!K96/1000</f>
        <v>3.5200000000000002E-2</v>
      </c>
      <c r="M96" s="61">
        <f>Helicoil!L96/1000</f>
        <v>1.3949999999999999E-2</v>
      </c>
      <c r="N96" s="31">
        <f>Tabla13[[#This Row],[Metrica]]/1000</f>
        <v>0</v>
      </c>
    </row>
    <row r="97" spans="1:14" x14ac:dyDescent="0.3">
      <c r="A97" s="31">
        <v>14</v>
      </c>
      <c r="B97" s="31">
        <f>Tabla13[[#This Row],[Metrica]]/1000</f>
        <v>1.4E-2</v>
      </c>
      <c r="C97" s="31">
        <f>Helicoil!B97/1000</f>
        <v>2E-3</v>
      </c>
      <c r="D97" s="61" t="s">
        <v>301</v>
      </c>
      <c r="E97" s="61">
        <f t="shared" si="1"/>
        <v>1.4E-2</v>
      </c>
      <c r="F97" s="61">
        <f>Helicoil!E97/1000</f>
        <v>5.5999999999999999E-3</v>
      </c>
      <c r="G97" s="61">
        <f>Helicoil!F97/1000</f>
        <v>1.6800000000000002E-2</v>
      </c>
      <c r="H97" s="61">
        <f>Helicoil!G97/1000</f>
        <v>1.72E-2</v>
      </c>
      <c r="I97" s="61">
        <f>Helicoil!H97/1000</f>
        <v>1.443E-2</v>
      </c>
      <c r="J97" s="61">
        <f>Helicoil!I97/1000</f>
        <v>1.473E-2</v>
      </c>
      <c r="K97" s="61">
        <f>Helicoil!J97/1000</f>
        <v>1.4500000000000001E-2</v>
      </c>
      <c r="L97" s="61">
        <f>Helicoil!K97/1000</f>
        <v>1.2999999999999999E-2</v>
      </c>
      <c r="M97" s="61">
        <f>Helicoil!L97/1000</f>
        <v>1.66E-2</v>
      </c>
      <c r="N97" s="31">
        <f>Tabla13[[#This Row],[Metrica]]/1000</f>
        <v>1.4E-2</v>
      </c>
    </row>
    <row r="98" spans="1:14" x14ac:dyDescent="0.3">
      <c r="A98" s="31"/>
      <c r="B98" s="31">
        <f>Tabla13[[#This Row],[Metrica]]/1000</f>
        <v>0</v>
      </c>
      <c r="C98" s="31">
        <f>Helicoil!B98/1000</f>
        <v>2E-3</v>
      </c>
      <c r="D98" s="61" t="s">
        <v>302</v>
      </c>
      <c r="E98" s="61">
        <f t="shared" si="1"/>
        <v>0</v>
      </c>
      <c r="F98" s="61">
        <f>Helicoil!E98/1000</f>
        <v>8.8000000000000005E-3</v>
      </c>
      <c r="G98" s="61">
        <f>Helicoil!F98/1000</f>
        <v>1.6800000000000002E-2</v>
      </c>
      <c r="H98" s="61">
        <f>Helicoil!G98/1000</f>
        <v>1.72E-2</v>
      </c>
      <c r="I98" s="61">
        <f>Helicoil!H98/1000</f>
        <v>1.443E-2</v>
      </c>
      <c r="J98" s="61">
        <f>Helicoil!I98/1000</f>
        <v>1.473E-2</v>
      </c>
      <c r="K98" s="61">
        <f>Helicoil!J98/1000</f>
        <v>1.4500000000000001E-2</v>
      </c>
      <c r="L98" s="61">
        <f>Helicoil!K98/1000</f>
        <v>0.02</v>
      </c>
      <c r="M98" s="61">
        <f>Helicoil!L98/1000</f>
        <v>1.66E-2</v>
      </c>
      <c r="N98" s="31">
        <f>Tabla13[[#This Row],[Metrica]]/1000</f>
        <v>0</v>
      </c>
    </row>
    <row r="99" spans="1:14" x14ac:dyDescent="0.3">
      <c r="A99" s="31"/>
      <c r="B99" s="31">
        <f>Tabla13[[#This Row],[Metrica]]/1000</f>
        <v>0</v>
      </c>
      <c r="C99" s="31">
        <f>Helicoil!B99/1000</f>
        <v>2E-3</v>
      </c>
      <c r="D99" s="61" t="s">
        <v>303</v>
      </c>
      <c r="E99" s="61">
        <f t="shared" si="1"/>
        <v>0</v>
      </c>
      <c r="F99" s="61">
        <f>Helicoil!E99/1000</f>
        <v>1.2E-2</v>
      </c>
      <c r="G99" s="61">
        <f>Helicoil!F99/1000</f>
        <v>1.6800000000000002E-2</v>
      </c>
      <c r="H99" s="61">
        <f>Helicoil!G99/1000</f>
        <v>1.72E-2</v>
      </c>
      <c r="I99" s="61">
        <f>Helicoil!H99/1000</f>
        <v>1.443E-2</v>
      </c>
      <c r="J99" s="61">
        <f>Helicoil!I99/1000</f>
        <v>1.473E-2</v>
      </c>
      <c r="K99" s="61">
        <f>Helicoil!J99/1000</f>
        <v>1.4500000000000001E-2</v>
      </c>
      <c r="L99" s="61">
        <f>Helicoil!K99/1000</f>
        <v>2.7E-2</v>
      </c>
      <c r="M99" s="61">
        <f>Helicoil!L99/1000</f>
        <v>1.66E-2</v>
      </c>
      <c r="N99" s="31">
        <f>Tabla13[[#This Row],[Metrica]]/1000</f>
        <v>0</v>
      </c>
    </row>
    <row r="100" spans="1:14" x14ac:dyDescent="0.3">
      <c r="A100" s="31"/>
      <c r="B100" s="31">
        <f>Tabla13[[#This Row],[Metrica]]/1000</f>
        <v>0</v>
      </c>
      <c r="C100" s="31">
        <f>Helicoil!B100/1000</f>
        <v>2E-3</v>
      </c>
      <c r="D100" s="61" t="s">
        <v>304</v>
      </c>
      <c r="E100" s="61">
        <f t="shared" si="1"/>
        <v>0</v>
      </c>
      <c r="F100" s="61">
        <f>Helicoil!E100/1000</f>
        <v>1.52E-2</v>
      </c>
      <c r="G100" s="61">
        <f>Helicoil!F100/1000</f>
        <v>1.6800000000000002E-2</v>
      </c>
      <c r="H100" s="61">
        <f>Helicoil!G100/1000</f>
        <v>1.72E-2</v>
      </c>
      <c r="I100" s="61">
        <f>Helicoil!H100/1000</f>
        <v>1.443E-2</v>
      </c>
      <c r="J100" s="61">
        <f>Helicoil!I100/1000</f>
        <v>1.473E-2</v>
      </c>
      <c r="K100" s="61">
        <f>Helicoil!J100/1000</f>
        <v>1.4500000000000001E-2</v>
      </c>
      <c r="L100" s="61">
        <f>Helicoil!K100/1000</f>
        <v>3.4000000000000002E-2</v>
      </c>
      <c r="M100" s="61">
        <f>Helicoil!L100/1000</f>
        <v>1.66E-2</v>
      </c>
      <c r="N100" s="31">
        <f>Tabla13[[#This Row],[Metrica]]/1000</f>
        <v>0</v>
      </c>
    </row>
    <row r="101" spans="1:14" x14ac:dyDescent="0.3">
      <c r="A101" s="31"/>
      <c r="B101" s="31">
        <f>Tabla13[[#This Row],[Metrica]]/1000</f>
        <v>0</v>
      </c>
      <c r="C101" s="31">
        <f>Helicoil!B101/1000</f>
        <v>0</v>
      </c>
      <c r="D101" s="61" t="s">
        <v>305</v>
      </c>
      <c r="E101" s="61">
        <f t="shared" si="1"/>
        <v>0</v>
      </c>
      <c r="F101" s="61">
        <f>Helicoil!E101/1000</f>
        <v>0</v>
      </c>
      <c r="G101" s="61">
        <f>Helicoil!F101/1000</f>
        <v>0</v>
      </c>
      <c r="H101" s="61">
        <f>Helicoil!G101/1000</f>
        <v>0</v>
      </c>
      <c r="I101" s="61">
        <f>Helicoil!H101/1000</f>
        <v>0</v>
      </c>
      <c r="J101" s="61">
        <f>Helicoil!I101/1000</f>
        <v>0</v>
      </c>
      <c r="K101" s="61">
        <f>Helicoil!J101/1000</f>
        <v>0</v>
      </c>
      <c r="L101" s="61">
        <f>Helicoil!K101/1000</f>
        <v>0</v>
      </c>
      <c r="M101" s="61">
        <f>Helicoil!L101/1000</f>
        <v>0</v>
      </c>
      <c r="N101" s="31">
        <f>Tabla13[[#This Row],[Metrica]]/1000</f>
        <v>0</v>
      </c>
    </row>
    <row r="102" spans="1:14" x14ac:dyDescent="0.3">
      <c r="A102" s="31">
        <v>16</v>
      </c>
      <c r="B102" s="31">
        <f>Tabla13[[#This Row],[Metrica]]/1000</f>
        <v>1.6E-2</v>
      </c>
      <c r="C102" s="31">
        <f>Helicoil!B117/1000</f>
        <v>2E-3</v>
      </c>
      <c r="D102" s="61" t="s">
        <v>301</v>
      </c>
      <c r="E102" s="61">
        <f t="shared" si="1"/>
        <v>1.6E-2</v>
      </c>
      <c r="F102" s="61">
        <f>Helicoil!E102/1000</f>
        <v>1.12E-2</v>
      </c>
      <c r="G102" s="61">
        <f>Helicoil!F102/1000</f>
        <v>1.6800000000000002E-2</v>
      </c>
      <c r="H102" s="61">
        <f>Helicoil!G102/1000</f>
        <v>1.72E-2</v>
      </c>
      <c r="I102" s="61">
        <f>Helicoil!H102/1000</f>
        <v>1.422E-2</v>
      </c>
      <c r="J102" s="61">
        <f>Helicoil!I102/1000</f>
        <v>1.4410000000000001E-2</v>
      </c>
      <c r="K102" s="61">
        <f>Helicoil!J102/1000</f>
        <v>1.4250000000000001E-2</v>
      </c>
      <c r="L102" s="61">
        <f>Helicoil!K102/1000</f>
        <v>1.35E-2</v>
      </c>
      <c r="M102" s="61">
        <f>Helicoil!L102/1000</f>
        <v>1.5300000000000001E-2</v>
      </c>
      <c r="N102" s="31">
        <f>Tabla13[[#This Row],[Metrica]]/1000</f>
        <v>1.6E-2</v>
      </c>
    </row>
    <row r="103" spans="1:14" x14ac:dyDescent="0.3">
      <c r="A103" s="31"/>
      <c r="B103" s="31">
        <f>Tabla13[[#This Row],[Metrica]]/1000</f>
        <v>0</v>
      </c>
      <c r="C103" s="31">
        <f>Helicoil!B118/1000</f>
        <v>2E-3</v>
      </c>
      <c r="D103" s="61" t="s">
        <v>302</v>
      </c>
      <c r="E103" s="61">
        <f t="shared" si="1"/>
        <v>0</v>
      </c>
      <c r="F103" s="61">
        <f>Helicoil!E103/1000</f>
        <v>1.72E-2</v>
      </c>
      <c r="G103" s="61">
        <f>Helicoil!F103/1000</f>
        <v>1.6800000000000002E-2</v>
      </c>
      <c r="H103" s="61">
        <f>Helicoil!G103/1000</f>
        <v>1.72E-2</v>
      </c>
      <c r="I103" s="61">
        <f>Helicoil!H103/1000</f>
        <v>1.422E-2</v>
      </c>
      <c r="J103" s="61">
        <f>Helicoil!I103/1000</f>
        <v>1.4410000000000001E-2</v>
      </c>
      <c r="K103" s="61">
        <f>Helicoil!J103/1000</f>
        <v>1.4250000000000001E-2</v>
      </c>
      <c r="L103" s="61">
        <f>Helicoil!K103/1000</f>
        <v>2.0500000000000001E-2</v>
      </c>
      <c r="M103" s="61">
        <f>Helicoil!L103/1000</f>
        <v>1.5300000000000001E-2</v>
      </c>
      <c r="N103" s="31">
        <f>Tabla13[[#This Row],[Metrica]]/1000</f>
        <v>0</v>
      </c>
    </row>
    <row r="104" spans="1:14" x14ac:dyDescent="0.3">
      <c r="A104" s="31"/>
      <c r="B104" s="31">
        <f>Tabla13[[#This Row],[Metrica]]/1000</f>
        <v>0</v>
      </c>
      <c r="C104" s="31">
        <f>Helicoil!B119/1000</f>
        <v>2E-3</v>
      </c>
      <c r="D104" s="61" t="s">
        <v>303</v>
      </c>
      <c r="E104" s="61">
        <f t="shared" si="1"/>
        <v>0</v>
      </c>
      <c r="F104" s="61">
        <f>Helicoil!E104/1000</f>
        <v>2.3199999999999998E-2</v>
      </c>
      <c r="G104" s="61">
        <f>Helicoil!F104/1000</f>
        <v>1.6800000000000002E-2</v>
      </c>
      <c r="H104" s="61">
        <f>Helicoil!G104/1000</f>
        <v>1.72E-2</v>
      </c>
      <c r="I104" s="61">
        <f>Helicoil!H104/1000</f>
        <v>1.422E-2</v>
      </c>
      <c r="J104" s="61">
        <f>Helicoil!I104/1000</f>
        <v>1.4410000000000001E-2</v>
      </c>
      <c r="K104" s="61">
        <f>Helicoil!J104/1000</f>
        <v>1.4250000000000001E-2</v>
      </c>
      <c r="L104" s="61">
        <f>Helicoil!K104/1000</f>
        <v>2.75E-2</v>
      </c>
      <c r="M104" s="61">
        <f>Helicoil!L104/1000</f>
        <v>1.5300000000000001E-2</v>
      </c>
      <c r="N104" s="31">
        <f>Tabla13[[#This Row],[Metrica]]/1000</f>
        <v>0</v>
      </c>
    </row>
    <row r="105" spans="1:14" x14ac:dyDescent="0.3">
      <c r="A105" s="31"/>
      <c r="B105" s="31">
        <f>Tabla13[[#This Row],[Metrica]]/1000</f>
        <v>0</v>
      </c>
      <c r="C105" s="31">
        <f>Helicoil!B120/1000</f>
        <v>2E-3</v>
      </c>
      <c r="D105" s="61" t="s">
        <v>304</v>
      </c>
      <c r="E105" s="61">
        <f t="shared" si="1"/>
        <v>0</v>
      </c>
      <c r="F105" s="61">
        <f>Helicoil!E105/1000</f>
        <v>2.92E-2</v>
      </c>
      <c r="G105" s="61">
        <f>Helicoil!F105/1000</f>
        <v>1.6800000000000002E-2</v>
      </c>
      <c r="H105" s="61">
        <f>Helicoil!G105/1000</f>
        <v>1.72E-2</v>
      </c>
      <c r="I105" s="61">
        <f>Helicoil!H105/1000</f>
        <v>1.422E-2</v>
      </c>
      <c r="J105" s="61">
        <f>Helicoil!I105/1000</f>
        <v>1.4410000000000001E-2</v>
      </c>
      <c r="K105" s="61">
        <f>Helicoil!J105/1000</f>
        <v>1.4250000000000001E-2</v>
      </c>
      <c r="L105" s="61">
        <f>Helicoil!K105/1000</f>
        <v>3.4500000000000003E-2</v>
      </c>
      <c r="M105" s="61">
        <f>Helicoil!L105/1000</f>
        <v>1.5300000000000001E-2</v>
      </c>
      <c r="N105" s="31">
        <f>Tabla13[[#This Row],[Metrica]]/1000</f>
        <v>0</v>
      </c>
    </row>
    <row r="106" spans="1:14" x14ac:dyDescent="0.3">
      <c r="A106" s="31"/>
      <c r="B106" s="31">
        <f>Tabla13[[#This Row],[Metrica]]/1000</f>
        <v>0</v>
      </c>
      <c r="C106" s="31" t="e">
        <f>Helicoil!#REF!/1000</f>
        <v>#REF!</v>
      </c>
      <c r="D106" s="61" t="s">
        <v>305</v>
      </c>
      <c r="E106" s="61">
        <f t="shared" si="1"/>
        <v>0</v>
      </c>
      <c r="F106" s="61">
        <f>Helicoil!E106/1000</f>
        <v>0</v>
      </c>
      <c r="G106" s="61">
        <f>Helicoil!F106/1000</f>
        <v>0</v>
      </c>
      <c r="H106" s="61">
        <f>Helicoil!G106/1000</f>
        <v>0</v>
      </c>
      <c r="I106" s="61">
        <f>Helicoil!H106/1000</f>
        <v>0</v>
      </c>
      <c r="J106" s="61">
        <f>Helicoil!I106/1000</f>
        <v>0</v>
      </c>
      <c r="K106" s="61">
        <f>Helicoil!J106/1000</f>
        <v>0</v>
      </c>
      <c r="L106" s="61">
        <f>Helicoil!K106/1000</f>
        <v>0</v>
      </c>
      <c r="M106" s="61">
        <f>Helicoil!L106/1000</f>
        <v>0</v>
      </c>
      <c r="N106" s="31">
        <f>Tabla13[[#This Row],[Metrica]]/1000</f>
        <v>0</v>
      </c>
    </row>
    <row r="107" spans="1:14" x14ac:dyDescent="0.3">
      <c r="A107" s="31">
        <v>18</v>
      </c>
      <c r="B107" s="31">
        <f>Tabla13[[#This Row],[Metrica]]/1000</f>
        <v>1.7999999999999999E-2</v>
      </c>
      <c r="C107" s="31">
        <f>Helicoil!B127/1000</f>
        <v>2.5000000000000001E-3</v>
      </c>
      <c r="D107" s="61" t="s">
        <v>301</v>
      </c>
      <c r="E107" s="61">
        <f t="shared" si="1"/>
        <v>1.7999999999999999E-2</v>
      </c>
      <c r="F107" s="61">
        <f>Helicoil!E107/1000</f>
        <v>4.5999999999999999E-3</v>
      </c>
      <c r="G107" s="61">
        <f>Helicoil!F107/1000</f>
        <v>1.6800000000000002E-2</v>
      </c>
      <c r="H107" s="61">
        <f>Helicoil!G107/1000</f>
        <v>1.72E-2</v>
      </c>
      <c r="I107" s="61">
        <f>Helicoil!H107/1000</f>
        <v>1.427E-2</v>
      </c>
      <c r="J107" s="61">
        <f>Helicoil!I107/1000</f>
        <v>1.448E-2</v>
      </c>
      <c r="K107" s="61">
        <f>Helicoil!J107/1000</f>
        <v>1.4250000000000001E-2</v>
      </c>
      <c r="L107" s="61">
        <f>Helicoil!K107/1000</f>
        <v>7.7999999999999996E-3</v>
      </c>
      <c r="M107" s="61">
        <f>Helicoil!L107/1000</f>
        <v>1.5619999999999998E-2</v>
      </c>
      <c r="N107" s="31">
        <f>Tabla13[[#This Row],[Metrica]]/1000</f>
        <v>1.7999999999999999E-2</v>
      </c>
    </row>
    <row r="108" spans="1:14" x14ac:dyDescent="0.3">
      <c r="A108" s="31"/>
      <c r="B108" s="31">
        <f>Tabla13[[#This Row],[Metrica]]/1000</f>
        <v>0</v>
      </c>
      <c r="C108" s="31">
        <f>Helicoil!B128/1000</f>
        <v>2.5000000000000001E-3</v>
      </c>
      <c r="D108" s="61" t="s">
        <v>302</v>
      </c>
      <c r="E108" s="61">
        <f t="shared" si="1"/>
        <v>0</v>
      </c>
      <c r="F108" s="61">
        <f>Helicoil!E108/1000</f>
        <v>7.4000000000000003E-3</v>
      </c>
      <c r="G108" s="61">
        <f>Helicoil!F108/1000</f>
        <v>1.6800000000000002E-2</v>
      </c>
      <c r="H108" s="61">
        <f>Helicoil!G108/1000</f>
        <v>1.72E-2</v>
      </c>
      <c r="I108" s="61">
        <f>Helicoil!H108/1000</f>
        <v>1.427E-2</v>
      </c>
      <c r="J108" s="61">
        <f>Helicoil!I108/1000</f>
        <v>1.448E-2</v>
      </c>
      <c r="K108" s="61">
        <f>Helicoil!J108/1000</f>
        <v>1.4250000000000001E-2</v>
      </c>
      <c r="L108" s="61">
        <f>Helicoil!K108/1000</f>
        <v>1.1800000000000001E-2</v>
      </c>
      <c r="M108" s="61">
        <f>Helicoil!L108/1000</f>
        <v>1.5619999999999998E-2</v>
      </c>
      <c r="N108" s="31">
        <f>Tabla13[[#This Row],[Metrica]]/1000</f>
        <v>0</v>
      </c>
    </row>
    <row r="109" spans="1:14" x14ac:dyDescent="0.3">
      <c r="A109" s="31"/>
      <c r="B109" s="31">
        <f>Tabla13[[#This Row],[Metrica]]/1000</f>
        <v>0</v>
      </c>
      <c r="C109" s="31">
        <f>Helicoil!B129/1000</f>
        <v>2.5000000000000001E-3</v>
      </c>
      <c r="D109" s="61" t="s">
        <v>303</v>
      </c>
      <c r="E109" s="61">
        <f t="shared" si="1"/>
        <v>0</v>
      </c>
      <c r="F109" s="61">
        <f>Helicoil!E109/1000</f>
        <v>9.1000000000000004E-3</v>
      </c>
      <c r="G109" s="61">
        <f>Helicoil!F109/1000</f>
        <v>1.6800000000000002E-2</v>
      </c>
      <c r="H109" s="61">
        <f>Helicoil!G109/1000</f>
        <v>1.72E-2</v>
      </c>
      <c r="I109" s="61">
        <f>Helicoil!H109/1000</f>
        <v>1.427E-2</v>
      </c>
      <c r="J109" s="61">
        <f>Helicoil!I109/1000</f>
        <v>1.448E-2</v>
      </c>
      <c r="K109" s="61">
        <f>Helicoil!J109/1000</f>
        <v>1.4250000000000001E-2</v>
      </c>
      <c r="L109" s="61">
        <f>Helicoil!K109/1000</f>
        <v>1.3800000000000002E-2</v>
      </c>
      <c r="M109" s="61">
        <f>Helicoil!L109/1000</f>
        <v>1.5619999999999998E-2</v>
      </c>
      <c r="N109" s="31">
        <f>Tabla13[[#This Row],[Metrica]]/1000</f>
        <v>0</v>
      </c>
    </row>
    <row r="110" spans="1:14" x14ac:dyDescent="0.3">
      <c r="A110" s="31"/>
      <c r="B110" s="31">
        <f>Tabla13[[#This Row],[Metrica]]/1000</f>
        <v>0</v>
      </c>
      <c r="C110" s="31">
        <f>Helicoil!B130/1000</f>
        <v>2.5000000000000001E-3</v>
      </c>
      <c r="D110" s="61" t="s">
        <v>304</v>
      </c>
      <c r="E110" s="61">
        <f t="shared" si="1"/>
        <v>0</v>
      </c>
      <c r="F110" s="61">
        <f>Helicoil!E110/1000</f>
        <v>1.0199999999999999E-2</v>
      </c>
      <c r="G110" s="61">
        <f>Helicoil!F110/1000</f>
        <v>1.6800000000000002E-2</v>
      </c>
      <c r="H110" s="61">
        <f>Helicoil!G110/1000</f>
        <v>1.72E-2</v>
      </c>
      <c r="I110" s="61">
        <f>Helicoil!H110/1000</f>
        <v>1.427E-2</v>
      </c>
      <c r="J110" s="61">
        <f>Helicoil!I110/1000</f>
        <v>1.448E-2</v>
      </c>
      <c r="K110" s="61">
        <f>Helicoil!J110/1000</f>
        <v>1.4250000000000001E-2</v>
      </c>
      <c r="L110" s="61">
        <f>Helicoil!K110/1000</f>
        <v>1.5800000000000002E-2</v>
      </c>
      <c r="M110" s="61">
        <f>Helicoil!L110/1000</f>
        <v>1.5619999999999998E-2</v>
      </c>
      <c r="N110" s="31">
        <f>Tabla13[[#This Row],[Metrica]]/1000</f>
        <v>0</v>
      </c>
    </row>
    <row r="111" spans="1:14" x14ac:dyDescent="0.3">
      <c r="A111" s="31"/>
      <c r="B111" s="31">
        <f>Tabla13[[#This Row],[Metrica]]/1000</f>
        <v>0</v>
      </c>
      <c r="C111" s="31">
        <f>Helicoil!B135/1000</f>
        <v>0</v>
      </c>
      <c r="D111" s="61" t="s">
        <v>305</v>
      </c>
      <c r="E111" s="61">
        <f t="shared" si="1"/>
        <v>0</v>
      </c>
      <c r="F111" s="61">
        <f>Helicoil!E111/1000</f>
        <v>0</v>
      </c>
      <c r="G111" s="61">
        <f>Helicoil!F111/1000</f>
        <v>0</v>
      </c>
      <c r="H111" s="61">
        <f>Helicoil!G111/1000</f>
        <v>0</v>
      </c>
      <c r="I111" s="61">
        <f>Helicoil!H111/1000</f>
        <v>0</v>
      </c>
      <c r="J111" s="61">
        <f>Helicoil!I111/1000</f>
        <v>0</v>
      </c>
      <c r="K111" s="61">
        <f>Helicoil!J111/1000</f>
        <v>0</v>
      </c>
      <c r="L111" s="61">
        <f>Helicoil!K111/1000</f>
        <v>0</v>
      </c>
      <c r="M111" s="61">
        <f>Helicoil!L111/1000</f>
        <v>0</v>
      </c>
      <c r="N111" s="31">
        <f>Tabla13[[#This Row],[Metrica]]/1000</f>
        <v>0</v>
      </c>
    </row>
    <row r="112" spans="1:14" x14ac:dyDescent="0.3">
      <c r="A112" s="31">
        <v>20</v>
      </c>
      <c r="B112" s="31">
        <f>Tabla13[[#This Row],[Metrica]]/1000</f>
        <v>0.02</v>
      </c>
      <c r="C112" s="31">
        <f>Helicoil!B142/1000</f>
        <v>0</v>
      </c>
      <c r="D112" s="61" t="s">
        <v>301</v>
      </c>
      <c r="E112" s="61">
        <f t="shared" si="1"/>
        <v>0.02</v>
      </c>
      <c r="F112" s="61">
        <f>Helicoil!E112/1000</f>
        <v>7.4000000000000003E-3</v>
      </c>
      <c r="G112" s="61">
        <f>Helicoil!F112/1000</f>
        <v>1.6800000000000002E-2</v>
      </c>
      <c r="H112" s="61">
        <f>Helicoil!G112/1000</f>
        <v>1.72E-2</v>
      </c>
      <c r="I112" s="61">
        <f>Helicoil!H112/1000</f>
        <v>1.438E-2</v>
      </c>
      <c r="J112" s="61">
        <f>Helicoil!I112/1000</f>
        <v>1.456E-2</v>
      </c>
      <c r="K112" s="61">
        <f>Helicoil!J112/1000</f>
        <v>1.4500000000000001E-2</v>
      </c>
      <c r="L112" s="61">
        <f>Helicoil!K112/1000</f>
        <v>1.32E-2</v>
      </c>
      <c r="M112" s="61">
        <f>Helicoil!L112/1000</f>
        <v>1.5949999999999999E-2</v>
      </c>
      <c r="N112" s="31">
        <f>Tabla13[[#This Row],[Metrica]]/1000</f>
        <v>0.02</v>
      </c>
    </row>
    <row r="113" spans="1:14" x14ac:dyDescent="0.3">
      <c r="A113" s="31"/>
      <c r="B113" s="31">
        <f>Tabla13[[#This Row],[Metrica]]/1000</f>
        <v>0</v>
      </c>
      <c r="C113" s="31">
        <f>Helicoil!B143/1000</f>
        <v>0</v>
      </c>
      <c r="D113" s="61" t="s">
        <v>302</v>
      </c>
      <c r="E113" s="61">
        <f t="shared" si="1"/>
        <v>0</v>
      </c>
      <c r="F113" s="61">
        <f>Helicoil!E113/1000</f>
        <v>1.1599999999999999E-2</v>
      </c>
      <c r="G113" s="61">
        <f>Helicoil!F113/1000</f>
        <v>1.6800000000000002E-2</v>
      </c>
      <c r="H113" s="61">
        <f>Helicoil!G113/1000</f>
        <v>1.72E-2</v>
      </c>
      <c r="I113" s="61">
        <f>Helicoil!H113/1000</f>
        <v>1.438E-2</v>
      </c>
      <c r="J113" s="61">
        <f>Helicoil!I113/1000</f>
        <v>1.456E-2</v>
      </c>
      <c r="K113" s="61">
        <f>Helicoil!J113/1000</f>
        <v>1.4500000000000001E-2</v>
      </c>
      <c r="L113" s="61">
        <f>Helicoil!K113/1000</f>
        <v>2.0199999999999999E-2</v>
      </c>
      <c r="M113" s="61">
        <f>Helicoil!L113/1000</f>
        <v>1.5949999999999999E-2</v>
      </c>
      <c r="N113" s="31">
        <f>Tabla13[[#This Row],[Metrica]]/1000</f>
        <v>0</v>
      </c>
    </row>
    <row r="114" spans="1:14" x14ac:dyDescent="0.3">
      <c r="A114" s="31"/>
      <c r="B114" s="31">
        <f>Tabla13[[#This Row],[Metrica]]/1000</f>
        <v>0</v>
      </c>
      <c r="C114" s="31">
        <f>Helicoil!B144/1000</f>
        <v>0</v>
      </c>
      <c r="D114" s="61" t="s">
        <v>303</v>
      </c>
      <c r="E114" s="61">
        <f t="shared" si="1"/>
        <v>0</v>
      </c>
      <c r="F114" s="61">
        <f>Helicoil!E114/1000</f>
        <v>1.5699999999999999E-2</v>
      </c>
      <c r="G114" s="61">
        <f>Helicoil!F114/1000</f>
        <v>1.6800000000000002E-2</v>
      </c>
      <c r="H114" s="61">
        <f>Helicoil!G114/1000</f>
        <v>1.72E-2</v>
      </c>
      <c r="I114" s="61">
        <f>Helicoil!H114/1000</f>
        <v>1.438E-2</v>
      </c>
      <c r="J114" s="61">
        <f>Helicoil!I114/1000</f>
        <v>1.456E-2</v>
      </c>
      <c r="K114" s="61">
        <f>Helicoil!J114/1000</f>
        <v>1.4500000000000001E-2</v>
      </c>
      <c r="L114" s="61">
        <f>Helicoil!K114/1000</f>
        <v>2.7199999999999998E-2</v>
      </c>
      <c r="M114" s="61">
        <f>Helicoil!L114/1000</f>
        <v>1.5949999999999999E-2</v>
      </c>
      <c r="N114" s="31">
        <f>Tabla13[[#This Row],[Metrica]]/1000</f>
        <v>0</v>
      </c>
    </row>
    <row r="115" spans="1:14" x14ac:dyDescent="0.3">
      <c r="A115" s="31"/>
      <c r="B115" s="31">
        <f>Tabla13[[#This Row],[Metrica]]/1000</f>
        <v>0</v>
      </c>
      <c r="C115" s="31">
        <f>Helicoil!B145/1000</f>
        <v>0</v>
      </c>
      <c r="D115" s="61" t="s">
        <v>304</v>
      </c>
      <c r="E115" s="61">
        <f t="shared" si="1"/>
        <v>0</v>
      </c>
      <c r="F115" s="61">
        <f>Helicoil!E115/1000</f>
        <v>1.9899999999999998E-2</v>
      </c>
      <c r="G115" s="61">
        <f>Helicoil!F115/1000</f>
        <v>1.6800000000000002E-2</v>
      </c>
      <c r="H115" s="61">
        <f>Helicoil!G115/1000</f>
        <v>1.72E-2</v>
      </c>
      <c r="I115" s="61">
        <f>Helicoil!H115/1000</f>
        <v>1.438E-2</v>
      </c>
      <c r="J115" s="61">
        <f>Helicoil!I115/1000</f>
        <v>1.456E-2</v>
      </c>
      <c r="K115" s="61">
        <f>Helicoil!J115/1000</f>
        <v>1.4500000000000001E-2</v>
      </c>
      <c r="L115" s="61">
        <f>Helicoil!K115/1000</f>
        <v>3.4200000000000001E-2</v>
      </c>
      <c r="M115" s="61">
        <f>Helicoil!L115/1000</f>
        <v>1.5949999999999999E-2</v>
      </c>
      <c r="N115" s="31">
        <f>Tabla13[[#This Row],[Metrica]]/1000</f>
        <v>0</v>
      </c>
    </row>
    <row r="116" spans="1:14" x14ac:dyDescent="0.3">
      <c r="A116" s="31"/>
      <c r="B116" s="31">
        <f>Tabla13[[#This Row],[Metrica]]/1000</f>
        <v>0</v>
      </c>
      <c r="C116" s="31">
        <f>Helicoil!B146/1000</f>
        <v>0</v>
      </c>
      <c r="D116" s="61" t="s">
        <v>305</v>
      </c>
      <c r="E116" s="61">
        <f t="shared" si="1"/>
        <v>0</v>
      </c>
      <c r="F116" s="61">
        <f>Helicoil!E116/1000</f>
        <v>0</v>
      </c>
      <c r="G116" s="61">
        <f>Helicoil!F116/1000</f>
        <v>0</v>
      </c>
      <c r="H116" s="61">
        <f>Helicoil!G116/1000</f>
        <v>0</v>
      </c>
      <c r="I116" s="61">
        <f>Helicoil!H116/1000</f>
        <v>0</v>
      </c>
      <c r="J116" s="61">
        <f>Helicoil!I116/1000</f>
        <v>0</v>
      </c>
      <c r="K116" s="61">
        <f>Helicoil!J116/1000</f>
        <v>0</v>
      </c>
      <c r="L116" s="61">
        <f>Helicoil!K116/1000</f>
        <v>0</v>
      </c>
      <c r="M116" s="61">
        <f>Helicoil!L116/1000</f>
        <v>0</v>
      </c>
      <c r="N116" s="31">
        <f>Tabla13[[#This Row],[Metrica]]/1000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BA04C-8ACA-413F-BA4C-215C591DF17C}">
  <dimension ref="A1:AA158"/>
  <sheetViews>
    <sheetView topLeftCell="A113" zoomScale="70" zoomScaleNormal="70" workbookViewId="0">
      <selection activeCell="C127" sqref="C127:C131"/>
    </sheetView>
  </sheetViews>
  <sheetFormatPr baseColWidth="10" defaultRowHeight="14.4" x14ac:dyDescent="0.3"/>
  <cols>
    <col min="1" max="1" width="11.33203125" customWidth="1"/>
    <col min="2" max="2" width="10" customWidth="1"/>
    <col min="3" max="3" width="13.44140625" customWidth="1"/>
    <col min="4" max="4" width="11.5546875" style="72"/>
    <col min="5" max="5" width="8.33203125" style="72" customWidth="1"/>
    <col min="6" max="7" width="11.5546875" style="72"/>
    <col min="8" max="8" width="13.88671875" style="72" customWidth="1"/>
    <col min="9" max="9" width="14.44140625" style="72" customWidth="1"/>
    <col min="10" max="10" width="11.5546875" style="72"/>
    <col min="11" max="11" width="11.109375" style="72" customWidth="1"/>
    <col min="12" max="12" width="12.88671875" style="72" customWidth="1"/>
    <col min="25" max="25" width="9.6640625" bestFit="1" customWidth="1"/>
    <col min="27" max="27" width="6.109375" bestFit="1" customWidth="1"/>
  </cols>
  <sheetData>
    <row r="1" spans="1:12" x14ac:dyDescent="0.3">
      <c r="A1" s="57" t="s">
        <v>306</v>
      </c>
      <c r="B1" s="56" t="s">
        <v>263</v>
      </c>
      <c r="C1" s="58" t="s">
        <v>299</v>
      </c>
      <c r="D1" s="66" t="s">
        <v>340</v>
      </c>
      <c r="E1" s="66" t="s">
        <v>300</v>
      </c>
      <c r="F1" s="66" t="s">
        <v>323</v>
      </c>
      <c r="G1" s="66" t="s">
        <v>324</v>
      </c>
      <c r="H1" s="66" t="s">
        <v>325</v>
      </c>
      <c r="I1" s="66" t="s">
        <v>326</v>
      </c>
      <c r="J1" s="66" t="s">
        <v>91</v>
      </c>
      <c r="K1" s="66" t="s">
        <v>327</v>
      </c>
      <c r="L1" s="67" t="s">
        <v>328</v>
      </c>
    </row>
    <row r="2" spans="1:12" x14ac:dyDescent="0.3">
      <c r="A2" s="31">
        <v>2</v>
      </c>
      <c r="B2" s="31">
        <v>0.4</v>
      </c>
      <c r="C2" s="60" t="s">
        <v>301</v>
      </c>
      <c r="D2" s="68">
        <f>A2*1</f>
        <v>2</v>
      </c>
      <c r="E2" s="68">
        <v>2.9</v>
      </c>
      <c r="F2" s="68">
        <v>2.6</v>
      </c>
      <c r="G2" s="68">
        <v>2.8</v>
      </c>
      <c r="H2" s="68">
        <v>2.09</v>
      </c>
      <c r="I2" s="68">
        <v>2.1800000000000002</v>
      </c>
      <c r="J2" s="68">
        <v>2.1</v>
      </c>
      <c r="K2" s="68">
        <v>1.8</v>
      </c>
      <c r="L2" s="69">
        <v>2.52</v>
      </c>
    </row>
    <row r="3" spans="1:12" x14ac:dyDescent="0.3">
      <c r="A3" s="31">
        <v>2</v>
      </c>
      <c r="B3" s="31">
        <v>0.4</v>
      </c>
      <c r="C3" s="31" t="s">
        <v>302</v>
      </c>
      <c r="D3" s="69">
        <f>A2*1.5</f>
        <v>3</v>
      </c>
      <c r="E3" s="69">
        <v>4.9000000000000004</v>
      </c>
      <c r="F3" s="69">
        <v>2.6</v>
      </c>
      <c r="G3" s="69">
        <v>2.8</v>
      </c>
      <c r="H3" s="69">
        <v>2.09</v>
      </c>
      <c r="I3" s="69">
        <v>2.1800000000000002</v>
      </c>
      <c r="J3" s="69">
        <v>2.1</v>
      </c>
      <c r="K3" s="69">
        <v>2.8</v>
      </c>
      <c r="L3" s="69">
        <v>2.52</v>
      </c>
    </row>
    <row r="4" spans="1:12" x14ac:dyDescent="0.3">
      <c r="A4" s="31">
        <v>2</v>
      </c>
      <c r="B4" s="31">
        <v>0.4</v>
      </c>
      <c r="C4" s="31" t="s">
        <v>303</v>
      </c>
      <c r="D4" s="69">
        <f>A2*2</f>
        <v>4</v>
      </c>
      <c r="E4" s="69">
        <v>6.9</v>
      </c>
      <c r="F4" s="69">
        <v>2.6</v>
      </c>
      <c r="G4" s="69">
        <v>2.8</v>
      </c>
      <c r="H4" s="69">
        <v>2.09</v>
      </c>
      <c r="I4" s="69">
        <v>2.1800000000000002</v>
      </c>
      <c r="J4" s="69">
        <v>2.1</v>
      </c>
      <c r="K4" s="69">
        <v>3.8</v>
      </c>
      <c r="L4" s="69">
        <v>2.52</v>
      </c>
    </row>
    <row r="5" spans="1:12" x14ac:dyDescent="0.3">
      <c r="A5" s="31">
        <v>2</v>
      </c>
      <c r="B5" s="31">
        <v>0.4</v>
      </c>
      <c r="C5" s="31" t="s">
        <v>304</v>
      </c>
      <c r="D5" s="69">
        <f>A2*2.5</f>
        <v>5</v>
      </c>
      <c r="E5" s="69">
        <v>8.9</v>
      </c>
      <c r="F5" s="69">
        <v>2.6</v>
      </c>
      <c r="G5" s="69">
        <v>2.8</v>
      </c>
      <c r="H5" s="69">
        <v>2.09</v>
      </c>
      <c r="I5" s="69">
        <v>2.1800000000000002</v>
      </c>
      <c r="J5" s="69">
        <v>2.1</v>
      </c>
      <c r="K5" s="69">
        <v>4.8</v>
      </c>
      <c r="L5" s="69">
        <v>2.52</v>
      </c>
    </row>
    <row r="6" spans="1:12" ht="15" thickBot="1" x14ac:dyDescent="0.35">
      <c r="A6" s="62">
        <v>2</v>
      </c>
      <c r="B6" s="62">
        <v>0.4</v>
      </c>
      <c r="C6" s="62" t="s">
        <v>305</v>
      </c>
      <c r="D6" s="70">
        <f>A2*3</f>
        <v>6</v>
      </c>
      <c r="E6" s="70">
        <v>10.9</v>
      </c>
      <c r="F6" s="70">
        <v>2.6</v>
      </c>
      <c r="G6" s="70">
        <v>2.8</v>
      </c>
      <c r="H6" s="70">
        <v>2.09</v>
      </c>
      <c r="I6" s="70">
        <v>2.1800000000000002</v>
      </c>
      <c r="J6" s="70">
        <v>2.1</v>
      </c>
      <c r="K6" s="70">
        <v>5.8</v>
      </c>
      <c r="L6" s="70">
        <v>2.52</v>
      </c>
    </row>
    <row r="7" spans="1:12" x14ac:dyDescent="0.3">
      <c r="A7" s="31">
        <v>2.5</v>
      </c>
      <c r="B7" s="31">
        <v>0.45</v>
      </c>
      <c r="C7" s="31" t="s">
        <v>301</v>
      </c>
      <c r="D7" s="69">
        <f>A7*1</f>
        <v>2.5</v>
      </c>
      <c r="E7" s="69">
        <v>3.5</v>
      </c>
      <c r="F7" s="69">
        <v>3.3</v>
      </c>
      <c r="G7" s="69">
        <v>3.5</v>
      </c>
      <c r="H7" s="69">
        <v>2.6</v>
      </c>
      <c r="I7" s="69">
        <v>2.7</v>
      </c>
      <c r="J7" s="69">
        <v>2.6</v>
      </c>
      <c r="K7" s="69">
        <v>2.2999999999999998</v>
      </c>
      <c r="L7" s="69">
        <v>3.08</v>
      </c>
    </row>
    <row r="8" spans="1:12" x14ac:dyDescent="0.3">
      <c r="A8" s="31">
        <v>2.5</v>
      </c>
      <c r="B8" s="31">
        <v>0.45</v>
      </c>
      <c r="C8" s="31" t="s">
        <v>302</v>
      </c>
      <c r="D8" s="69">
        <f>A7*1.5</f>
        <v>3.75</v>
      </c>
      <c r="E8" s="69">
        <v>5.9</v>
      </c>
      <c r="F8" s="69">
        <v>3.3</v>
      </c>
      <c r="G8" s="69">
        <v>3.5</v>
      </c>
      <c r="H8" s="69">
        <v>2.6</v>
      </c>
      <c r="I8" s="69">
        <v>2.7</v>
      </c>
      <c r="J8" s="69">
        <v>2.6</v>
      </c>
      <c r="K8" s="69">
        <v>3.5</v>
      </c>
      <c r="L8" s="69">
        <v>3.08</v>
      </c>
    </row>
    <row r="9" spans="1:12" x14ac:dyDescent="0.3">
      <c r="A9" s="31">
        <v>2.5</v>
      </c>
      <c r="B9" s="31">
        <v>0.45</v>
      </c>
      <c r="C9" s="31" t="s">
        <v>303</v>
      </c>
      <c r="D9" s="69">
        <f>A7*2</f>
        <v>5</v>
      </c>
      <c r="E9" s="69">
        <v>8.1</v>
      </c>
      <c r="F9" s="69">
        <v>3.3</v>
      </c>
      <c r="G9" s="69">
        <v>3.5</v>
      </c>
      <c r="H9" s="69">
        <v>2.6</v>
      </c>
      <c r="I9" s="69">
        <v>2.7</v>
      </c>
      <c r="J9" s="69">
        <v>2.6</v>
      </c>
      <c r="K9" s="69">
        <v>4.8</v>
      </c>
      <c r="L9" s="69">
        <v>3.08</v>
      </c>
    </row>
    <row r="10" spans="1:12" x14ac:dyDescent="0.3">
      <c r="A10" s="31">
        <v>2.5</v>
      </c>
      <c r="B10" s="31">
        <v>0.45</v>
      </c>
      <c r="C10" s="31" t="s">
        <v>304</v>
      </c>
      <c r="D10" s="69">
        <f>A7*2.5</f>
        <v>6.25</v>
      </c>
      <c r="E10" s="69">
        <v>10.5</v>
      </c>
      <c r="F10" s="69">
        <v>3.3</v>
      </c>
      <c r="G10" s="69">
        <v>3.5</v>
      </c>
      <c r="H10" s="69">
        <v>2.6</v>
      </c>
      <c r="I10" s="69">
        <v>2.7</v>
      </c>
      <c r="J10" s="69">
        <v>2.6</v>
      </c>
      <c r="K10" s="69">
        <v>6</v>
      </c>
      <c r="L10" s="69">
        <v>3.08</v>
      </c>
    </row>
    <row r="11" spans="1:12" ht="15" thickBot="1" x14ac:dyDescent="0.35">
      <c r="A11" s="62">
        <v>2.5</v>
      </c>
      <c r="B11" s="62">
        <v>0.45</v>
      </c>
      <c r="C11" s="62" t="s">
        <v>305</v>
      </c>
      <c r="D11" s="70">
        <f>A7*3</f>
        <v>7.5</v>
      </c>
      <c r="E11" s="70">
        <v>12.9</v>
      </c>
      <c r="F11" s="70">
        <v>3.3</v>
      </c>
      <c r="G11" s="70">
        <v>3.5</v>
      </c>
      <c r="H11" s="70">
        <v>2.6</v>
      </c>
      <c r="I11" s="70">
        <v>2.7</v>
      </c>
      <c r="J11" s="70">
        <v>2.6</v>
      </c>
      <c r="K11" s="70">
        <v>7.3</v>
      </c>
      <c r="L11" s="70">
        <v>3.08</v>
      </c>
    </row>
    <row r="12" spans="1:12" x14ac:dyDescent="0.3">
      <c r="A12" s="31">
        <v>3</v>
      </c>
      <c r="B12" s="31">
        <v>0.5</v>
      </c>
      <c r="C12" s="31" t="s">
        <v>301</v>
      </c>
      <c r="D12" s="69">
        <f>A12*1</f>
        <v>3</v>
      </c>
      <c r="E12" s="69">
        <v>3.9</v>
      </c>
      <c r="F12" s="69">
        <v>3.8</v>
      </c>
      <c r="G12" s="69">
        <v>4</v>
      </c>
      <c r="H12" s="69">
        <v>3.11</v>
      </c>
      <c r="I12" s="69">
        <v>3.22</v>
      </c>
      <c r="J12" s="69">
        <v>3.2</v>
      </c>
      <c r="K12" s="69">
        <v>2.7</v>
      </c>
      <c r="L12" s="69">
        <v>3.65</v>
      </c>
    </row>
    <row r="13" spans="1:12" x14ac:dyDescent="0.3">
      <c r="A13" s="31">
        <v>3</v>
      </c>
      <c r="B13" s="31">
        <v>0.5</v>
      </c>
      <c r="C13" s="31" t="s">
        <v>302</v>
      </c>
      <c r="D13" s="69">
        <f>A12*1.5</f>
        <v>4.5</v>
      </c>
      <c r="E13" s="69">
        <v>6.3</v>
      </c>
      <c r="F13" s="69">
        <v>3.8</v>
      </c>
      <c r="G13" s="69">
        <v>4</v>
      </c>
      <c r="H13" s="69">
        <v>3.11</v>
      </c>
      <c r="I13" s="69">
        <v>3.22</v>
      </c>
      <c r="J13" s="69">
        <v>3.2</v>
      </c>
      <c r="K13" s="69">
        <v>4.2</v>
      </c>
      <c r="L13" s="69">
        <v>3.65</v>
      </c>
    </row>
    <row r="14" spans="1:12" x14ac:dyDescent="0.3">
      <c r="A14" s="31">
        <v>3</v>
      </c>
      <c r="B14" s="31">
        <v>0.5</v>
      </c>
      <c r="C14" s="31" t="s">
        <v>303</v>
      </c>
      <c r="D14" s="69">
        <f>A12*2</f>
        <v>6</v>
      </c>
      <c r="E14" s="69">
        <v>8.6999999999999993</v>
      </c>
      <c r="F14" s="69">
        <v>3.8</v>
      </c>
      <c r="G14" s="69">
        <v>4</v>
      </c>
      <c r="H14" s="69">
        <v>3.11</v>
      </c>
      <c r="I14" s="69">
        <v>3.22</v>
      </c>
      <c r="J14" s="69">
        <v>3.2</v>
      </c>
      <c r="K14" s="69">
        <v>5.7</v>
      </c>
      <c r="L14" s="69">
        <v>3.65</v>
      </c>
    </row>
    <row r="15" spans="1:12" x14ac:dyDescent="0.3">
      <c r="A15" s="31">
        <v>3</v>
      </c>
      <c r="B15" s="31">
        <v>0.5</v>
      </c>
      <c r="C15" s="31" t="s">
        <v>304</v>
      </c>
      <c r="D15" s="69">
        <f>A12*2.5</f>
        <v>7.5</v>
      </c>
      <c r="E15" s="69">
        <v>11.1</v>
      </c>
      <c r="F15" s="69">
        <v>3.8</v>
      </c>
      <c r="G15" s="69">
        <v>4</v>
      </c>
      <c r="H15" s="69">
        <v>3.11</v>
      </c>
      <c r="I15" s="69">
        <v>3.22</v>
      </c>
      <c r="J15" s="69">
        <v>3.2</v>
      </c>
      <c r="K15" s="69">
        <v>7.2</v>
      </c>
      <c r="L15" s="69">
        <v>3.65</v>
      </c>
    </row>
    <row r="16" spans="1:12" ht="15" thickBot="1" x14ac:dyDescent="0.35">
      <c r="A16" s="62">
        <v>3</v>
      </c>
      <c r="B16" s="62">
        <v>0.5</v>
      </c>
      <c r="C16" s="62" t="s">
        <v>305</v>
      </c>
      <c r="D16" s="70">
        <f>A12*3</f>
        <v>9</v>
      </c>
      <c r="E16" s="70">
        <v>13.5</v>
      </c>
      <c r="F16" s="70">
        <v>3.8</v>
      </c>
      <c r="G16" s="70">
        <v>4</v>
      </c>
      <c r="H16" s="70">
        <v>3.11</v>
      </c>
      <c r="I16" s="70">
        <v>3.22</v>
      </c>
      <c r="J16" s="70">
        <v>3.2</v>
      </c>
      <c r="K16" s="70">
        <v>8.6999999999999993</v>
      </c>
      <c r="L16" s="70">
        <v>3.65</v>
      </c>
    </row>
    <row r="17" spans="1:25" x14ac:dyDescent="0.3">
      <c r="A17" s="31">
        <v>3.5</v>
      </c>
      <c r="B17" s="31">
        <v>0.6</v>
      </c>
      <c r="C17" s="31" t="s">
        <v>301</v>
      </c>
      <c r="D17" s="69">
        <f>A17*1</f>
        <v>3.5</v>
      </c>
      <c r="E17" s="69">
        <v>3.7</v>
      </c>
      <c r="F17" s="69">
        <v>4.42</v>
      </c>
      <c r="G17" s="69">
        <v>4.5999999999999996</v>
      </c>
      <c r="H17" s="69">
        <v>3.63</v>
      </c>
      <c r="I17" s="69">
        <v>3.76</v>
      </c>
      <c r="J17" s="69">
        <v>3.7</v>
      </c>
      <c r="K17" s="69">
        <v>3.2</v>
      </c>
      <c r="L17" s="69">
        <v>4.28</v>
      </c>
    </row>
    <row r="18" spans="1:25" x14ac:dyDescent="0.3">
      <c r="A18" s="31">
        <v>3.5</v>
      </c>
      <c r="B18" s="31">
        <v>0.6</v>
      </c>
      <c r="C18" s="31" t="s">
        <v>302</v>
      </c>
      <c r="D18" s="69">
        <f>A17*1.5</f>
        <v>5.25</v>
      </c>
      <c r="E18" s="69">
        <v>6.3</v>
      </c>
      <c r="F18" s="69">
        <v>4.42</v>
      </c>
      <c r="G18" s="69">
        <v>4.5999999999999996</v>
      </c>
      <c r="H18" s="69">
        <v>3.63</v>
      </c>
      <c r="I18" s="69">
        <v>3.76</v>
      </c>
      <c r="J18" s="69">
        <v>3.7</v>
      </c>
      <c r="K18" s="69">
        <v>5</v>
      </c>
      <c r="L18" s="69">
        <v>4.28</v>
      </c>
    </row>
    <row r="19" spans="1:25" x14ac:dyDescent="0.3">
      <c r="A19" s="31">
        <v>3.5</v>
      </c>
      <c r="B19" s="31">
        <v>0.6</v>
      </c>
      <c r="C19" s="31" t="s">
        <v>303</v>
      </c>
      <c r="D19" s="69">
        <f>A17*2</f>
        <v>7</v>
      </c>
      <c r="E19" s="69">
        <v>8.6999999999999993</v>
      </c>
      <c r="F19" s="69">
        <v>4.42</v>
      </c>
      <c r="G19" s="69">
        <v>4.5999999999999996</v>
      </c>
      <c r="H19" s="69">
        <v>3.63</v>
      </c>
      <c r="I19" s="69">
        <v>3.76</v>
      </c>
      <c r="J19" s="69">
        <v>3.7</v>
      </c>
      <c r="K19" s="69">
        <v>6.7</v>
      </c>
      <c r="L19" s="69">
        <v>4.28</v>
      </c>
    </row>
    <row r="20" spans="1:25" x14ac:dyDescent="0.3">
      <c r="A20" s="31">
        <v>3.5</v>
      </c>
      <c r="B20" s="31">
        <v>0.6</v>
      </c>
      <c r="C20" s="31" t="s">
        <v>304</v>
      </c>
      <c r="D20" s="69">
        <f>A17*2.5</f>
        <v>8.75</v>
      </c>
      <c r="E20" s="69">
        <v>11.2</v>
      </c>
      <c r="F20" s="69">
        <v>4.42</v>
      </c>
      <c r="G20" s="69">
        <v>4.5999999999999996</v>
      </c>
      <c r="H20" s="69">
        <v>3.63</v>
      </c>
      <c r="I20" s="69">
        <v>3.76</v>
      </c>
      <c r="J20" s="69">
        <v>3.7</v>
      </c>
      <c r="K20" s="69">
        <v>8.5</v>
      </c>
      <c r="L20" s="69">
        <v>4.28</v>
      </c>
    </row>
    <row r="21" spans="1:25" ht="15" thickBot="1" x14ac:dyDescent="0.35">
      <c r="A21" s="62">
        <v>3.5</v>
      </c>
      <c r="B21" s="62">
        <v>0.6</v>
      </c>
      <c r="C21" s="62" t="s">
        <v>305</v>
      </c>
      <c r="D21" s="70">
        <f>A17*3</f>
        <v>10.5</v>
      </c>
      <c r="E21" s="70">
        <v>13.3</v>
      </c>
      <c r="F21" s="70">
        <v>4.42</v>
      </c>
      <c r="G21" s="70">
        <v>4.5999999999999996</v>
      </c>
      <c r="H21" s="70">
        <v>3.63</v>
      </c>
      <c r="I21" s="70">
        <v>3.76</v>
      </c>
      <c r="J21" s="70">
        <v>3.7</v>
      </c>
      <c r="K21" s="70">
        <v>10.199999999999999</v>
      </c>
      <c r="L21" s="70">
        <v>4.28</v>
      </c>
    </row>
    <row r="22" spans="1:25" x14ac:dyDescent="0.3">
      <c r="A22" s="31">
        <v>4</v>
      </c>
      <c r="B22" s="31">
        <v>0.7</v>
      </c>
      <c r="C22" s="31" t="s">
        <v>301</v>
      </c>
      <c r="D22" s="69">
        <f>A22*1</f>
        <v>4</v>
      </c>
      <c r="E22" s="69">
        <v>3.7</v>
      </c>
      <c r="F22" s="69">
        <v>5.05</v>
      </c>
      <c r="G22" s="69">
        <v>5.25</v>
      </c>
      <c r="H22" s="69">
        <v>4.1500000000000004</v>
      </c>
      <c r="I22" s="69">
        <v>4.29</v>
      </c>
      <c r="J22" s="69">
        <v>4.2</v>
      </c>
      <c r="K22" s="69">
        <v>3.6</v>
      </c>
      <c r="L22" s="71">
        <v>4.91</v>
      </c>
    </row>
    <row r="23" spans="1:25" x14ac:dyDescent="0.3">
      <c r="A23" s="31">
        <v>4</v>
      </c>
      <c r="B23" s="31">
        <v>0.7</v>
      </c>
      <c r="C23" s="31" t="s">
        <v>302</v>
      </c>
      <c r="D23" s="69">
        <f>A22*1.5</f>
        <v>6</v>
      </c>
      <c r="E23" s="69">
        <v>6.1</v>
      </c>
      <c r="F23" s="69">
        <v>5.05</v>
      </c>
      <c r="G23" s="69">
        <v>5.25</v>
      </c>
      <c r="H23" s="69">
        <v>4.1500000000000004</v>
      </c>
      <c r="I23" s="69">
        <v>4.29</v>
      </c>
      <c r="J23" s="69">
        <v>4.2</v>
      </c>
      <c r="K23" s="69">
        <v>5.6</v>
      </c>
      <c r="L23" s="69">
        <v>4.91</v>
      </c>
    </row>
    <row r="24" spans="1:25" x14ac:dyDescent="0.3">
      <c r="A24" s="31">
        <v>4</v>
      </c>
      <c r="B24" s="31">
        <v>0.7</v>
      </c>
      <c r="C24" s="31" t="s">
        <v>303</v>
      </c>
      <c r="D24" s="69">
        <f>A22*2</f>
        <v>8</v>
      </c>
      <c r="E24" s="69">
        <v>8.4</v>
      </c>
      <c r="F24" s="69">
        <v>5.05</v>
      </c>
      <c r="G24" s="69">
        <v>5.25</v>
      </c>
      <c r="H24" s="69">
        <v>4.1500000000000004</v>
      </c>
      <c r="I24" s="69">
        <v>4.29</v>
      </c>
      <c r="J24" s="69">
        <v>4.2</v>
      </c>
      <c r="K24" s="69">
        <v>7.6</v>
      </c>
      <c r="L24" s="69">
        <v>4.91</v>
      </c>
    </row>
    <row r="25" spans="1:25" x14ac:dyDescent="0.3">
      <c r="A25" s="31">
        <v>4</v>
      </c>
      <c r="B25" s="31">
        <v>0.7</v>
      </c>
      <c r="C25" s="31" t="s">
        <v>304</v>
      </c>
      <c r="D25" s="69">
        <f>A22*2.5</f>
        <v>10</v>
      </c>
      <c r="E25" s="69">
        <v>10.9</v>
      </c>
      <c r="F25" s="69">
        <v>5.05</v>
      </c>
      <c r="G25" s="69">
        <v>5.25</v>
      </c>
      <c r="H25" s="69">
        <v>4.1500000000000004</v>
      </c>
      <c r="I25" s="69">
        <v>4.29</v>
      </c>
      <c r="J25" s="69">
        <v>4.2</v>
      </c>
      <c r="K25" s="69">
        <v>9.6</v>
      </c>
      <c r="L25" s="69">
        <v>4.91</v>
      </c>
    </row>
    <row r="26" spans="1:25" ht="15" thickBot="1" x14ac:dyDescent="0.35">
      <c r="A26" s="62">
        <v>4</v>
      </c>
      <c r="B26" s="62">
        <v>0.7</v>
      </c>
      <c r="C26" s="62" t="s">
        <v>305</v>
      </c>
      <c r="D26" s="70">
        <f>A22*3</f>
        <v>12</v>
      </c>
      <c r="E26" s="70">
        <v>13.2</v>
      </c>
      <c r="F26" s="70">
        <v>5.05</v>
      </c>
      <c r="G26" s="70">
        <v>5.25</v>
      </c>
      <c r="H26" s="70">
        <v>4.1500000000000004</v>
      </c>
      <c r="I26" s="70">
        <v>4.29</v>
      </c>
      <c r="J26" s="70">
        <v>4.2</v>
      </c>
      <c r="K26" s="70">
        <v>11.6</v>
      </c>
      <c r="L26" s="70">
        <v>4.91</v>
      </c>
    </row>
    <row r="27" spans="1:25" x14ac:dyDescent="0.3">
      <c r="A27" s="31">
        <v>5</v>
      </c>
      <c r="B27" s="31">
        <v>0.8</v>
      </c>
      <c r="C27" s="31" t="s">
        <v>301</v>
      </c>
      <c r="D27" s="69">
        <f>A27*1</f>
        <v>5</v>
      </c>
      <c r="E27" s="69">
        <v>4.3</v>
      </c>
      <c r="F27" s="69">
        <v>6.35</v>
      </c>
      <c r="G27" s="69">
        <v>6.6</v>
      </c>
      <c r="H27" s="69">
        <v>5.17</v>
      </c>
      <c r="I27" s="69">
        <v>5.33</v>
      </c>
      <c r="J27" s="69">
        <v>5.2</v>
      </c>
      <c r="K27" s="69">
        <v>4.5999999999999996</v>
      </c>
      <c r="L27" s="69">
        <v>6.04</v>
      </c>
    </row>
    <row r="28" spans="1:25" x14ac:dyDescent="0.3">
      <c r="A28" s="31">
        <v>5</v>
      </c>
      <c r="B28" s="31">
        <v>0.8</v>
      </c>
      <c r="C28" s="31" t="s">
        <v>302</v>
      </c>
      <c r="D28" s="69">
        <f>A27*1.5</f>
        <v>7.5</v>
      </c>
      <c r="E28" s="69">
        <v>6.9</v>
      </c>
      <c r="F28" s="69">
        <v>6.35</v>
      </c>
      <c r="G28" s="69">
        <v>6.6</v>
      </c>
      <c r="H28" s="69">
        <v>5.17</v>
      </c>
      <c r="I28" s="69">
        <v>5.33</v>
      </c>
      <c r="J28" s="69">
        <v>5.2</v>
      </c>
      <c r="K28" s="69">
        <v>7.1</v>
      </c>
      <c r="L28" s="69">
        <v>6.04</v>
      </c>
    </row>
    <row r="29" spans="1:25" x14ac:dyDescent="0.3">
      <c r="A29" s="31">
        <v>5</v>
      </c>
      <c r="B29" s="31">
        <v>0.8</v>
      </c>
      <c r="C29" s="31" t="s">
        <v>303</v>
      </c>
      <c r="D29" s="69">
        <f>A27*2</f>
        <v>10</v>
      </c>
      <c r="E29" s="69">
        <v>9.6999999999999993</v>
      </c>
      <c r="F29" s="69">
        <v>6.35</v>
      </c>
      <c r="G29" s="69">
        <v>6.6</v>
      </c>
      <c r="H29" s="69">
        <v>5.17</v>
      </c>
      <c r="I29" s="69">
        <v>5.33</v>
      </c>
      <c r="J29" s="69">
        <v>5.2</v>
      </c>
      <c r="K29" s="69">
        <v>9.6</v>
      </c>
      <c r="L29" s="69">
        <v>6.04</v>
      </c>
    </row>
    <row r="30" spans="1:25" x14ac:dyDescent="0.3">
      <c r="A30" s="31">
        <v>5</v>
      </c>
      <c r="B30" s="31">
        <v>0.8</v>
      </c>
      <c r="C30" s="31" t="s">
        <v>304</v>
      </c>
      <c r="D30" s="69">
        <f>A27*2.5</f>
        <v>12.5</v>
      </c>
      <c r="E30" s="69">
        <v>12.3</v>
      </c>
      <c r="F30" s="69">
        <v>6.35</v>
      </c>
      <c r="G30" s="69">
        <v>6.6</v>
      </c>
      <c r="H30" s="69">
        <v>5.17</v>
      </c>
      <c r="I30" s="69">
        <v>5.33</v>
      </c>
      <c r="J30" s="69">
        <v>5.2</v>
      </c>
      <c r="K30" s="69">
        <v>12.1</v>
      </c>
      <c r="L30" s="69">
        <v>6.04</v>
      </c>
    </row>
    <row r="31" spans="1:25" ht="15" thickBot="1" x14ac:dyDescent="0.35">
      <c r="A31" s="62">
        <v>5</v>
      </c>
      <c r="B31" s="62">
        <v>0.8</v>
      </c>
      <c r="C31" s="62" t="s">
        <v>305</v>
      </c>
      <c r="D31" s="70">
        <f>A27*3</f>
        <v>15</v>
      </c>
      <c r="E31" s="70">
        <v>14.8</v>
      </c>
      <c r="F31" s="70">
        <v>6.35</v>
      </c>
      <c r="G31" s="70">
        <v>6.6</v>
      </c>
      <c r="H31" s="70">
        <v>5.17</v>
      </c>
      <c r="I31" s="70">
        <v>5.33</v>
      </c>
      <c r="J31" s="70">
        <v>5.2</v>
      </c>
      <c r="K31" s="70">
        <v>14.6</v>
      </c>
      <c r="L31" s="70">
        <v>6.04</v>
      </c>
    </row>
    <row r="32" spans="1:25" x14ac:dyDescent="0.3">
      <c r="A32" s="31">
        <v>6</v>
      </c>
      <c r="B32" s="31">
        <v>1</v>
      </c>
      <c r="C32" s="63" t="s">
        <v>301</v>
      </c>
      <c r="D32" s="71">
        <f>A32*1</f>
        <v>6</v>
      </c>
      <c r="E32" s="69">
        <v>4.2</v>
      </c>
      <c r="F32" s="69">
        <v>7.6</v>
      </c>
      <c r="G32" s="69">
        <v>7.85</v>
      </c>
      <c r="H32" s="69">
        <v>6.22</v>
      </c>
      <c r="I32" s="69">
        <v>6.41</v>
      </c>
      <c r="J32" s="69">
        <v>6.3</v>
      </c>
      <c r="K32" s="71">
        <v>5.5</v>
      </c>
      <c r="L32" s="69">
        <v>7.3</v>
      </c>
      <c r="Y32">
        <v>4.2</v>
      </c>
    </row>
    <row r="33" spans="1:25" x14ac:dyDescent="0.3">
      <c r="A33" s="31">
        <v>6</v>
      </c>
      <c r="B33" s="31">
        <v>1</v>
      </c>
      <c r="C33" s="31" t="s">
        <v>302</v>
      </c>
      <c r="D33" s="69">
        <f>A32*1.5</f>
        <v>9</v>
      </c>
      <c r="E33" s="69">
        <v>6.9</v>
      </c>
      <c r="F33" s="69">
        <v>7.6</v>
      </c>
      <c r="G33" s="69">
        <v>7.85</v>
      </c>
      <c r="H33" s="69">
        <v>6.22</v>
      </c>
      <c r="I33" s="69">
        <v>6.41</v>
      </c>
      <c r="J33" s="69">
        <v>6.3</v>
      </c>
      <c r="K33" s="69">
        <v>8.5</v>
      </c>
      <c r="L33" s="69">
        <v>7.3</v>
      </c>
      <c r="Y33">
        <v>6.9</v>
      </c>
    </row>
    <row r="34" spans="1:25" x14ac:dyDescent="0.3">
      <c r="A34" s="31">
        <v>6</v>
      </c>
      <c r="B34" s="31">
        <v>1</v>
      </c>
      <c r="C34" s="31" t="s">
        <v>303</v>
      </c>
      <c r="D34" s="69">
        <f>A32*2</f>
        <v>12</v>
      </c>
      <c r="E34" s="69">
        <v>9.6</v>
      </c>
      <c r="F34" s="69">
        <v>7.6</v>
      </c>
      <c r="G34" s="69">
        <v>7.85</v>
      </c>
      <c r="H34" s="69">
        <v>6.22</v>
      </c>
      <c r="I34" s="69">
        <v>6.41</v>
      </c>
      <c r="J34" s="69">
        <v>6.3</v>
      </c>
      <c r="K34" s="69">
        <v>11.5</v>
      </c>
      <c r="L34" s="69">
        <v>7.3</v>
      </c>
      <c r="Y34">
        <v>9.6</v>
      </c>
    </row>
    <row r="35" spans="1:25" x14ac:dyDescent="0.3">
      <c r="A35" s="31">
        <v>6</v>
      </c>
      <c r="B35" s="31">
        <v>1</v>
      </c>
      <c r="C35" s="31" t="s">
        <v>304</v>
      </c>
      <c r="D35" s="69">
        <f>A32*2.5</f>
        <v>15</v>
      </c>
      <c r="E35" s="69">
        <v>12.3</v>
      </c>
      <c r="F35" s="69">
        <v>7.6</v>
      </c>
      <c r="G35" s="69">
        <v>7.85</v>
      </c>
      <c r="H35" s="69">
        <v>6.22</v>
      </c>
      <c r="I35" s="69">
        <v>6.41</v>
      </c>
      <c r="J35" s="69">
        <v>6.3</v>
      </c>
      <c r="K35" s="69">
        <v>14.5</v>
      </c>
      <c r="L35" s="69">
        <v>7.3</v>
      </c>
      <c r="Y35">
        <v>12.3</v>
      </c>
    </row>
    <row r="36" spans="1:25" ht="15" thickBot="1" x14ac:dyDescent="0.35">
      <c r="A36" s="62">
        <v>6</v>
      </c>
      <c r="B36" s="62">
        <v>1</v>
      </c>
      <c r="C36" s="62" t="s">
        <v>305</v>
      </c>
      <c r="D36" s="70">
        <f>A32*3</f>
        <v>18</v>
      </c>
      <c r="E36" s="70">
        <v>14.6</v>
      </c>
      <c r="F36" s="70">
        <v>7.6</v>
      </c>
      <c r="G36" s="70">
        <v>7.85</v>
      </c>
      <c r="H36" s="70">
        <v>6.22</v>
      </c>
      <c r="I36" s="70">
        <v>6.41</v>
      </c>
      <c r="J36" s="70">
        <v>6.3</v>
      </c>
      <c r="K36" s="70">
        <v>17.5</v>
      </c>
      <c r="L36" s="70">
        <v>7.3</v>
      </c>
      <c r="Y36">
        <v>14.6</v>
      </c>
    </row>
    <row r="37" spans="1:25" x14ac:dyDescent="0.3">
      <c r="A37" s="31">
        <v>7</v>
      </c>
      <c r="B37" s="31">
        <v>1</v>
      </c>
      <c r="C37" s="31" t="s">
        <v>301</v>
      </c>
      <c r="D37" s="69">
        <f>A37*1</f>
        <v>7</v>
      </c>
      <c r="E37" s="69">
        <v>5.3</v>
      </c>
      <c r="F37" s="69">
        <v>8.65</v>
      </c>
      <c r="G37" s="69">
        <v>8.9</v>
      </c>
      <c r="H37" s="69">
        <v>7.22</v>
      </c>
      <c r="I37" s="69">
        <v>7.41</v>
      </c>
      <c r="J37" s="69">
        <v>7.3</v>
      </c>
      <c r="K37" s="69">
        <v>6.5</v>
      </c>
      <c r="L37" s="69">
        <v>8.3000000000000007</v>
      </c>
      <c r="Y37">
        <v>5.3</v>
      </c>
    </row>
    <row r="38" spans="1:25" x14ac:dyDescent="0.3">
      <c r="A38" s="31">
        <v>7</v>
      </c>
      <c r="B38" s="31">
        <v>1</v>
      </c>
      <c r="C38" s="31" t="s">
        <v>302</v>
      </c>
      <c r="D38" s="69">
        <f>A37*1.5</f>
        <v>10.5</v>
      </c>
      <c r="E38" s="69">
        <v>8.1999999999999993</v>
      </c>
      <c r="F38" s="69">
        <v>8.65</v>
      </c>
      <c r="G38" s="69">
        <v>8.9</v>
      </c>
      <c r="H38" s="69">
        <v>7.22</v>
      </c>
      <c r="I38" s="69">
        <v>7.41</v>
      </c>
      <c r="J38" s="69">
        <v>7.3</v>
      </c>
      <c r="K38" s="69">
        <v>10</v>
      </c>
      <c r="L38" s="69">
        <v>8.3000000000000007</v>
      </c>
      <c r="Y38">
        <v>8.1999999999999993</v>
      </c>
    </row>
    <row r="39" spans="1:25" x14ac:dyDescent="0.3">
      <c r="A39" s="31">
        <v>7</v>
      </c>
      <c r="B39" s="31">
        <v>1</v>
      </c>
      <c r="C39" s="31" t="s">
        <v>303</v>
      </c>
      <c r="D39" s="69">
        <f>A37*2</f>
        <v>14</v>
      </c>
      <c r="E39" s="69">
        <v>11.1</v>
      </c>
      <c r="F39" s="69">
        <v>8.65</v>
      </c>
      <c r="G39" s="69">
        <v>8.9</v>
      </c>
      <c r="H39" s="69">
        <v>7.22</v>
      </c>
      <c r="I39" s="69">
        <v>7.41</v>
      </c>
      <c r="J39" s="69">
        <v>7.3</v>
      </c>
      <c r="K39" s="69">
        <v>13.5</v>
      </c>
      <c r="L39" s="69">
        <v>8.3000000000000007</v>
      </c>
      <c r="Y39">
        <v>11.1</v>
      </c>
    </row>
    <row r="40" spans="1:25" x14ac:dyDescent="0.3">
      <c r="A40" s="31">
        <v>7</v>
      </c>
      <c r="B40" s="31">
        <v>1</v>
      </c>
      <c r="C40" s="31" t="s">
        <v>304</v>
      </c>
      <c r="D40" s="69">
        <f>A37*2.5</f>
        <v>17.5</v>
      </c>
      <c r="E40" s="69">
        <v>14.3</v>
      </c>
      <c r="F40" s="69">
        <v>8.65</v>
      </c>
      <c r="G40" s="69">
        <v>8.9</v>
      </c>
      <c r="H40" s="69">
        <v>7.22</v>
      </c>
      <c r="I40" s="69">
        <v>7.41</v>
      </c>
      <c r="J40" s="69">
        <v>7.3</v>
      </c>
      <c r="K40" s="69">
        <v>17</v>
      </c>
      <c r="L40" s="69">
        <v>8.3000000000000007</v>
      </c>
      <c r="Y40">
        <v>14.3</v>
      </c>
    </row>
    <row r="41" spans="1:25" ht="15" thickBot="1" x14ac:dyDescent="0.35">
      <c r="A41" s="62">
        <v>7</v>
      </c>
      <c r="B41" s="62">
        <v>1</v>
      </c>
      <c r="C41" s="62" t="s">
        <v>305</v>
      </c>
      <c r="D41" s="70">
        <f>A37*3</f>
        <v>21</v>
      </c>
      <c r="E41" s="70">
        <v>17.399999999999999</v>
      </c>
      <c r="F41" s="70">
        <v>8.65</v>
      </c>
      <c r="G41" s="70">
        <v>8.9</v>
      </c>
      <c r="H41" s="70">
        <v>7.22</v>
      </c>
      <c r="I41" s="70">
        <v>7.41</v>
      </c>
      <c r="J41" s="70">
        <v>7.3</v>
      </c>
      <c r="K41" s="70">
        <v>20.5</v>
      </c>
      <c r="L41" s="70">
        <v>8.3000000000000007</v>
      </c>
      <c r="Y41">
        <v>17.399999999999999</v>
      </c>
    </row>
    <row r="42" spans="1:25" x14ac:dyDescent="0.3">
      <c r="A42" s="31">
        <v>8</v>
      </c>
      <c r="B42" s="31">
        <v>1.25</v>
      </c>
      <c r="C42" s="31" t="s">
        <v>301</v>
      </c>
      <c r="D42" s="69">
        <f>A42*1</f>
        <v>8</v>
      </c>
      <c r="E42" s="69">
        <v>4.7</v>
      </c>
      <c r="F42" s="69">
        <v>9.85</v>
      </c>
      <c r="G42" s="69">
        <v>10.1</v>
      </c>
      <c r="H42" s="69">
        <v>8.27</v>
      </c>
      <c r="I42" s="69">
        <v>8.48</v>
      </c>
      <c r="J42" s="69">
        <v>8.4</v>
      </c>
      <c r="K42" s="69">
        <v>7.4</v>
      </c>
      <c r="L42" s="69">
        <v>9.6199999999999992</v>
      </c>
      <c r="Y42">
        <v>4.7</v>
      </c>
    </row>
    <row r="43" spans="1:25" x14ac:dyDescent="0.3">
      <c r="A43" s="31">
        <v>8</v>
      </c>
      <c r="B43" s="31">
        <v>1.25</v>
      </c>
      <c r="C43" s="31" t="s">
        <v>302</v>
      </c>
      <c r="D43" s="69">
        <f>A42*1.5</f>
        <v>12</v>
      </c>
      <c r="E43" s="69">
        <v>7.4</v>
      </c>
      <c r="F43" s="69">
        <v>9.85</v>
      </c>
      <c r="G43" s="69">
        <v>10.1</v>
      </c>
      <c r="H43" s="69">
        <v>8.27</v>
      </c>
      <c r="I43" s="69">
        <v>8.48</v>
      </c>
      <c r="J43" s="69">
        <v>8.4</v>
      </c>
      <c r="K43" s="69">
        <v>11.4</v>
      </c>
      <c r="L43" s="69">
        <v>9.6199999999999992</v>
      </c>
      <c r="Y43">
        <v>7.4</v>
      </c>
    </row>
    <row r="44" spans="1:25" x14ac:dyDescent="0.3">
      <c r="A44" s="31">
        <v>8</v>
      </c>
      <c r="B44" s="31">
        <v>1.25</v>
      </c>
      <c r="C44" s="31" t="s">
        <v>303</v>
      </c>
      <c r="D44" s="69">
        <f>A42*2</f>
        <v>16</v>
      </c>
      <c r="E44" s="69">
        <v>10.6</v>
      </c>
      <c r="F44" s="69">
        <v>9.85</v>
      </c>
      <c r="G44" s="69">
        <v>10.1</v>
      </c>
      <c r="H44" s="69">
        <v>8.27</v>
      </c>
      <c r="I44" s="69">
        <v>8.48</v>
      </c>
      <c r="J44" s="69">
        <v>8.4</v>
      </c>
      <c r="K44" s="69">
        <v>15.4</v>
      </c>
      <c r="L44" s="69">
        <v>9.6199999999999992</v>
      </c>
      <c r="Y44">
        <v>10.6</v>
      </c>
    </row>
    <row r="45" spans="1:25" x14ac:dyDescent="0.3">
      <c r="A45" s="31">
        <v>8</v>
      </c>
      <c r="B45" s="31">
        <v>1.25</v>
      </c>
      <c r="C45" s="31" t="s">
        <v>304</v>
      </c>
      <c r="D45" s="69">
        <f>A42*2.5</f>
        <v>20</v>
      </c>
      <c r="E45" s="69">
        <v>13.5</v>
      </c>
      <c r="F45" s="69">
        <v>9.85</v>
      </c>
      <c r="G45" s="69">
        <v>10.1</v>
      </c>
      <c r="H45" s="69">
        <v>8.27</v>
      </c>
      <c r="I45" s="69">
        <v>8.48</v>
      </c>
      <c r="J45" s="69">
        <v>8.4</v>
      </c>
      <c r="K45" s="69">
        <v>19.399999999999999</v>
      </c>
      <c r="L45" s="69">
        <v>9.6199999999999992</v>
      </c>
      <c r="Y45">
        <v>13.5</v>
      </c>
    </row>
    <row r="46" spans="1:25" ht="15" thickBot="1" x14ac:dyDescent="0.35">
      <c r="A46" s="62">
        <v>8</v>
      </c>
      <c r="B46" s="62">
        <v>1.25</v>
      </c>
      <c r="C46" s="62" t="s">
        <v>305</v>
      </c>
      <c r="D46" s="70">
        <f>A42*3</f>
        <v>24</v>
      </c>
      <c r="E46" s="70">
        <v>16.399999999999999</v>
      </c>
      <c r="F46" s="70">
        <v>9.85</v>
      </c>
      <c r="G46" s="70">
        <v>10.1</v>
      </c>
      <c r="H46" s="70">
        <v>8.27</v>
      </c>
      <c r="I46" s="70">
        <v>8.48</v>
      </c>
      <c r="J46" s="70">
        <v>8.4</v>
      </c>
      <c r="K46" s="70">
        <v>23.4</v>
      </c>
      <c r="L46" s="70">
        <v>9.6199999999999992</v>
      </c>
      <c r="Y46">
        <v>16.399999999999999</v>
      </c>
    </row>
    <row r="47" spans="1:25" x14ac:dyDescent="0.3">
      <c r="A47" s="31">
        <v>8</v>
      </c>
      <c r="B47" s="31">
        <v>1</v>
      </c>
      <c r="C47" s="31" t="s">
        <v>301</v>
      </c>
      <c r="D47" s="69">
        <f>A47*1</f>
        <v>8</v>
      </c>
      <c r="E47" s="69">
        <v>6.1</v>
      </c>
      <c r="F47" s="69">
        <v>9.85</v>
      </c>
      <c r="G47" s="69">
        <v>10.1</v>
      </c>
      <c r="H47" s="69">
        <v>8.2200000000000006</v>
      </c>
      <c r="I47" s="69">
        <v>8.41</v>
      </c>
      <c r="J47" s="69">
        <v>8.3000000000000007</v>
      </c>
      <c r="K47" s="69">
        <v>7.5</v>
      </c>
      <c r="L47" s="69">
        <v>9.3000000000000007</v>
      </c>
      <c r="Y47">
        <v>6.1</v>
      </c>
    </row>
    <row r="48" spans="1:25" x14ac:dyDescent="0.3">
      <c r="A48" s="31">
        <v>8</v>
      </c>
      <c r="B48" s="31">
        <v>1</v>
      </c>
      <c r="C48" s="31" t="s">
        <v>302</v>
      </c>
      <c r="D48" s="69">
        <f>A47*1.5</f>
        <v>12</v>
      </c>
      <c r="E48" s="69">
        <v>9.5</v>
      </c>
      <c r="F48" s="69">
        <v>9.85</v>
      </c>
      <c r="G48" s="69">
        <v>10.1</v>
      </c>
      <c r="H48" s="69">
        <v>8.2200000000000006</v>
      </c>
      <c r="I48" s="69">
        <v>8.41</v>
      </c>
      <c r="J48" s="69">
        <v>8.3000000000000007</v>
      </c>
      <c r="K48" s="69">
        <v>11.5</v>
      </c>
      <c r="L48" s="69">
        <v>9.3000000000000007</v>
      </c>
      <c r="Y48">
        <v>9.5</v>
      </c>
    </row>
    <row r="49" spans="1:27" x14ac:dyDescent="0.3">
      <c r="A49" s="31">
        <v>8</v>
      </c>
      <c r="B49" s="31">
        <v>1</v>
      </c>
      <c r="C49" s="31" t="s">
        <v>303</v>
      </c>
      <c r="D49" s="69">
        <f>A47*2</f>
        <v>16</v>
      </c>
      <c r="E49" s="69">
        <v>12.9</v>
      </c>
      <c r="F49" s="69">
        <v>9.85</v>
      </c>
      <c r="G49" s="69">
        <v>10.1</v>
      </c>
      <c r="H49" s="69">
        <v>8.2200000000000006</v>
      </c>
      <c r="I49" s="69">
        <v>8.41</v>
      </c>
      <c r="J49" s="69">
        <v>8.3000000000000007</v>
      </c>
      <c r="K49" s="69">
        <v>15.5</v>
      </c>
      <c r="L49" s="69">
        <v>9.3000000000000007</v>
      </c>
      <c r="Y49">
        <v>12.9</v>
      </c>
    </row>
    <row r="50" spans="1:27" x14ac:dyDescent="0.3">
      <c r="A50" s="31">
        <v>8</v>
      </c>
      <c r="B50" s="31">
        <v>1</v>
      </c>
      <c r="C50" s="31" t="s">
        <v>304</v>
      </c>
      <c r="D50" s="69">
        <f>A47*2.5</f>
        <v>20</v>
      </c>
      <c r="E50" s="69">
        <v>16.5</v>
      </c>
      <c r="F50" s="69">
        <v>9.85</v>
      </c>
      <c r="G50" s="69">
        <v>10.1</v>
      </c>
      <c r="H50" s="69">
        <v>8.2200000000000006</v>
      </c>
      <c r="I50" s="69">
        <v>8.41</v>
      </c>
      <c r="J50" s="69">
        <v>8.3000000000000007</v>
      </c>
      <c r="K50" s="69">
        <v>19.5</v>
      </c>
      <c r="L50" s="69">
        <v>9.3000000000000007</v>
      </c>
      <c r="Y50">
        <v>16.5</v>
      </c>
    </row>
    <row r="51" spans="1:27" ht="15" thickBot="1" x14ac:dyDescent="0.35">
      <c r="A51" s="62">
        <v>8</v>
      </c>
      <c r="B51" s="62">
        <v>1</v>
      </c>
      <c r="C51" s="62" t="s">
        <v>305</v>
      </c>
      <c r="D51" s="70">
        <f>A47*3</f>
        <v>24</v>
      </c>
      <c r="E51" s="70">
        <v>19.899999999999999</v>
      </c>
      <c r="F51" s="70">
        <v>9.85</v>
      </c>
      <c r="G51" s="70">
        <v>10.1</v>
      </c>
      <c r="H51" s="70">
        <v>8.2200000000000006</v>
      </c>
      <c r="I51" s="70">
        <v>8.41</v>
      </c>
      <c r="J51" s="70">
        <v>8.3000000000000007</v>
      </c>
      <c r="K51" s="70">
        <v>23.5</v>
      </c>
      <c r="L51" s="70">
        <v>9.3000000000000007</v>
      </c>
      <c r="Y51">
        <v>19.899999999999999</v>
      </c>
    </row>
    <row r="52" spans="1:27" x14ac:dyDescent="0.3">
      <c r="A52" s="31">
        <v>9</v>
      </c>
      <c r="B52" s="31">
        <v>1.25</v>
      </c>
      <c r="C52" s="31" t="s">
        <v>301</v>
      </c>
      <c r="D52" s="69">
        <f>A52*1</f>
        <v>9</v>
      </c>
      <c r="E52" s="69">
        <v>5.3</v>
      </c>
      <c r="F52" s="69">
        <v>10.85</v>
      </c>
      <c r="G52" s="69">
        <v>11.1</v>
      </c>
      <c r="H52" s="69">
        <v>9.27</v>
      </c>
      <c r="I52" s="69">
        <v>9.48</v>
      </c>
      <c r="J52" s="69">
        <v>9.4</v>
      </c>
      <c r="K52" s="69">
        <v>8.4</v>
      </c>
      <c r="L52" s="69">
        <v>10.62</v>
      </c>
    </row>
    <row r="53" spans="1:27" x14ac:dyDescent="0.3">
      <c r="A53" s="31">
        <v>9</v>
      </c>
      <c r="B53" s="31">
        <v>1.25</v>
      </c>
      <c r="C53" s="31" t="s">
        <v>302</v>
      </c>
      <c r="D53" s="69">
        <f>A52*1.5</f>
        <v>13.5</v>
      </c>
      <c r="E53" s="69">
        <v>8.6</v>
      </c>
      <c r="F53" s="69">
        <v>10.85</v>
      </c>
      <c r="G53" s="69">
        <v>11.1</v>
      </c>
      <c r="H53" s="69">
        <v>9.27</v>
      </c>
      <c r="I53" s="69">
        <v>9.48</v>
      </c>
      <c r="J53" s="69">
        <v>9.4</v>
      </c>
      <c r="K53" s="69">
        <v>12.9</v>
      </c>
      <c r="L53" s="69">
        <v>10.62</v>
      </c>
      <c r="AA53">
        <v>12.9</v>
      </c>
    </row>
    <row r="54" spans="1:27" x14ac:dyDescent="0.3">
      <c r="A54" s="31">
        <v>9</v>
      </c>
      <c r="B54" s="31">
        <v>1.25</v>
      </c>
      <c r="C54" s="31" t="s">
        <v>303</v>
      </c>
      <c r="D54" s="69">
        <f>A52*2</f>
        <v>18</v>
      </c>
      <c r="E54" s="69">
        <v>11.9</v>
      </c>
      <c r="F54" s="69">
        <v>10.85</v>
      </c>
      <c r="G54" s="69">
        <v>11.1</v>
      </c>
      <c r="H54" s="69">
        <v>9.27</v>
      </c>
      <c r="I54" s="69">
        <v>9.48</v>
      </c>
      <c r="J54" s="69">
        <v>9.4</v>
      </c>
      <c r="K54" s="69">
        <v>17.899999999999999</v>
      </c>
      <c r="L54" s="69">
        <v>10.62</v>
      </c>
      <c r="AA54">
        <v>21.9</v>
      </c>
    </row>
    <row r="55" spans="1:27" x14ac:dyDescent="0.3">
      <c r="A55" s="31">
        <v>9</v>
      </c>
      <c r="B55" s="31">
        <v>1.25</v>
      </c>
      <c r="C55" s="31" t="s">
        <v>304</v>
      </c>
      <c r="D55" s="69">
        <f>A52*2.5</f>
        <v>22.5</v>
      </c>
      <c r="E55" s="69">
        <v>15.3</v>
      </c>
      <c r="F55" s="69">
        <v>10.85</v>
      </c>
      <c r="G55" s="69">
        <v>11.1</v>
      </c>
      <c r="H55" s="69">
        <v>9.27</v>
      </c>
      <c r="I55" s="69">
        <v>9.48</v>
      </c>
      <c r="J55" s="69">
        <v>9.4</v>
      </c>
      <c r="K55" s="69">
        <v>21.9</v>
      </c>
      <c r="L55" s="69">
        <v>10.62</v>
      </c>
      <c r="AA55">
        <v>26.4</v>
      </c>
    </row>
    <row r="56" spans="1:27" ht="15" thickBot="1" x14ac:dyDescent="0.35">
      <c r="A56" s="62">
        <v>9</v>
      </c>
      <c r="B56" s="62">
        <v>1.25</v>
      </c>
      <c r="C56" s="62" t="s">
        <v>305</v>
      </c>
      <c r="D56" s="70">
        <f>A52*3</f>
        <v>27</v>
      </c>
      <c r="E56" s="70">
        <v>18.100000000000001</v>
      </c>
      <c r="F56" s="70">
        <v>10.85</v>
      </c>
      <c r="G56" s="70">
        <v>11.1</v>
      </c>
      <c r="H56" s="70">
        <v>9.27</v>
      </c>
      <c r="I56" s="70">
        <v>9.48</v>
      </c>
      <c r="J56" s="70">
        <v>9.4</v>
      </c>
      <c r="K56" s="70">
        <v>26.4</v>
      </c>
      <c r="L56" s="70">
        <v>10.62</v>
      </c>
      <c r="AA56">
        <v>9.1999999999999993</v>
      </c>
    </row>
    <row r="57" spans="1:27" x14ac:dyDescent="0.3">
      <c r="A57" s="31">
        <v>10</v>
      </c>
      <c r="B57" s="31">
        <v>1.5</v>
      </c>
      <c r="C57" s="31" t="s">
        <v>301</v>
      </c>
      <c r="D57" s="69">
        <f>A57*1</f>
        <v>10</v>
      </c>
      <c r="E57" s="69">
        <v>5</v>
      </c>
      <c r="F57" s="69">
        <v>12.1</v>
      </c>
      <c r="G57" s="69">
        <v>12.5</v>
      </c>
      <c r="H57" s="69">
        <v>10.32</v>
      </c>
      <c r="I57" s="69">
        <v>10.56</v>
      </c>
      <c r="J57" s="69">
        <v>10.5</v>
      </c>
      <c r="K57" s="69">
        <v>9.1999999999999993</v>
      </c>
      <c r="L57" s="69">
        <v>11.95</v>
      </c>
      <c r="AA57">
        <v>14.2</v>
      </c>
    </row>
    <row r="58" spans="1:27" x14ac:dyDescent="0.3">
      <c r="A58" s="31">
        <v>10</v>
      </c>
      <c r="B58" s="31">
        <v>1.5</v>
      </c>
      <c r="C58" s="31" t="s">
        <v>302</v>
      </c>
      <c r="D58" s="69">
        <f>A57*1.5</f>
        <v>15</v>
      </c>
      <c r="E58" s="69">
        <v>8.1</v>
      </c>
      <c r="F58" s="69">
        <v>12.1</v>
      </c>
      <c r="G58" s="69">
        <v>12.5</v>
      </c>
      <c r="H58" s="69">
        <v>10.32</v>
      </c>
      <c r="I58" s="69">
        <v>10.56</v>
      </c>
      <c r="J58" s="69">
        <v>10.5</v>
      </c>
      <c r="K58" s="69">
        <v>14.2</v>
      </c>
      <c r="L58" s="69">
        <v>11.95</v>
      </c>
      <c r="AA58">
        <v>19.2</v>
      </c>
    </row>
    <row r="59" spans="1:27" x14ac:dyDescent="0.3">
      <c r="A59" s="31">
        <v>10</v>
      </c>
      <c r="B59" s="31">
        <v>1.5</v>
      </c>
      <c r="C59" s="31" t="s">
        <v>303</v>
      </c>
      <c r="D59" s="69">
        <f>A57*2</f>
        <v>20</v>
      </c>
      <c r="E59" s="69">
        <v>11.2</v>
      </c>
      <c r="F59" s="69">
        <v>12.1</v>
      </c>
      <c r="G59" s="69">
        <v>12.5</v>
      </c>
      <c r="H59" s="69">
        <v>10.32</v>
      </c>
      <c r="I59" s="69">
        <v>10.56</v>
      </c>
      <c r="J59" s="69">
        <v>10.5</v>
      </c>
      <c r="K59" s="69">
        <v>19.2</v>
      </c>
      <c r="L59" s="69">
        <v>11.95</v>
      </c>
      <c r="AA59">
        <v>24.2</v>
      </c>
    </row>
    <row r="60" spans="1:27" x14ac:dyDescent="0.3">
      <c r="A60" s="31">
        <v>10</v>
      </c>
      <c r="B60" s="31">
        <v>1.5</v>
      </c>
      <c r="C60" s="31" t="s">
        <v>304</v>
      </c>
      <c r="D60" s="69">
        <f>A57*2.5</f>
        <v>25</v>
      </c>
      <c r="E60" s="69">
        <v>14.2</v>
      </c>
      <c r="F60" s="69">
        <v>12.1</v>
      </c>
      <c r="G60" s="69">
        <v>12.5</v>
      </c>
      <c r="H60" s="69">
        <v>10.32</v>
      </c>
      <c r="I60" s="69">
        <v>10.56</v>
      </c>
      <c r="J60" s="69">
        <v>10.5</v>
      </c>
      <c r="K60" s="69">
        <v>24.2</v>
      </c>
      <c r="L60" s="69">
        <v>11.95</v>
      </c>
      <c r="AA60">
        <v>9.5</v>
      </c>
    </row>
    <row r="61" spans="1:27" ht="15" thickBot="1" x14ac:dyDescent="0.35">
      <c r="A61" s="62">
        <v>10</v>
      </c>
      <c r="B61" s="62">
        <v>1.5</v>
      </c>
      <c r="C61" s="62" t="s">
        <v>305</v>
      </c>
      <c r="D61" s="70">
        <f>A57*3</f>
        <v>30</v>
      </c>
      <c r="E61" s="70">
        <v>17.2</v>
      </c>
      <c r="F61" s="70">
        <v>12.1</v>
      </c>
      <c r="G61" s="70">
        <v>12.5</v>
      </c>
      <c r="H61" s="70">
        <v>10.32</v>
      </c>
      <c r="I61" s="70">
        <v>10.56</v>
      </c>
      <c r="J61" s="70">
        <v>10.5</v>
      </c>
      <c r="K61" s="70">
        <v>29.2</v>
      </c>
      <c r="L61" s="70">
        <v>11.95</v>
      </c>
      <c r="AA61">
        <v>14.5</v>
      </c>
    </row>
    <row r="62" spans="1:27" x14ac:dyDescent="0.3">
      <c r="A62" s="31">
        <v>10</v>
      </c>
      <c r="B62" s="31">
        <v>1</v>
      </c>
      <c r="C62" s="31" t="s">
        <v>301</v>
      </c>
      <c r="D62" s="69">
        <f>A62*1</f>
        <v>10</v>
      </c>
      <c r="E62" s="69">
        <v>7.6</v>
      </c>
      <c r="F62" s="69">
        <v>12.1</v>
      </c>
      <c r="G62" s="69">
        <v>12.5</v>
      </c>
      <c r="H62" s="69">
        <v>10.220000000000001</v>
      </c>
      <c r="I62" s="69">
        <v>10.41</v>
      </c>
      <c r="J62" s="69">
        <v>10.25</v>
      </c>
      <c r="K62" s="69">
        <v>9.5</v>
      </c>
      <c r="L62" s="69">
        <v>11.3</v>
      </c>
      <c r="AA62">
        <v>19.5</v>
      </c>
    </row>
    <row r="63" spans="1:27" x14ac:dyDescent="0.3">
      <c r="A63" s="31">
        <v>10</v>
      </c>
      <c r="B63" s="31">
        <v>1</v>
      </c>
      <c r="C63" s="31" t="s">
        <v>302</v>
      </c>
      <c r="D63" s="69">
        <f>A62*1.5</f>
        <v>15</v>
      </c>
      <c r="E63" s="69">
        <v>12.1</v>
      </c>
      <c r="F63" s="69">
        <v>12.1</v>
      </c>
      <c r="G63" s="69">
        <v>12.5</v>
      </c>
      <c r="H63" s="69">
        <v>10.220000000000001</v>
      </c>
      <c r="I63" s="69">
        <v>10.41</v>
      </c>
      <c r="J63" s="69">
        <v>10.25</v>
      </c>
      <c r="K63" s="69">
        <v>14.5</v>
      </c>
      <c r="L63" s="69">
        <v>11.3</v>
      </c>
      <c r="AA63">
        <v>24.5</v>
      </c>
    </row>
    <row r="64" spans="1:27" x14ac:dyDescent="0.3">
      <c r="A64" s="31">
        <v>10</v>
      </c>
      <c r="B64" s="31">
        <v>1</v>
      </c>
      <c r="C64" s="31" t="s">
        <v>303</v>
      </c>
      <c r="D64" s="69">
        <f>A62*2</f>
        <v>20</v>
      </c>
      <c r="E64" s="69">
        <v>16.3</v>
      </c>
      <c r="F64" s="69">
        <v>12.1</v>
      </c>
      <c r="G64" s="69">
        <v>12.5</v>
      </c>
      <c r="H64" s="69">
        <v>10.220000000000001</v>
      </c>
      <c r="I64" s="69">
        <v>10.41</v>
      </c>
      <c r="J64" s="69">
        <v>10.25</v>
      </c>
      <c r="K64" s="69">
        <v>19.5</v>
      </c>
      <c r="L64" s="69">
        <v>11.3</v>
      </c>
      <c r="AA64">
        <v>29.5</v>
      </c>
    </row>
    <row r="65" spans="1:27" x14ac:dyDescent="0.3">
      <c r="A65" s="31">
        <v>10</v>
      </c>
      <c r="B65" s="31">
        <v>1</v>
      </c>
      <c r="C65" s="31" t="s">
        <v>304</v>
      </c>
      <c r="D65" s="69">
        <f>A62*2.5</f>
        <v>25</v>
      </c>
      <c r="E65" s="69">
        <v>20.7</v>
      </c>
      <c r="F65" s="69">
        <v>12.1</v>
      </c>
      <c r="G65" s="69">
        <v>12.5</v>
      </c>
      <c r="H65" s="69">
        <v>10.220000000000001</v>
      </c>
      <c r="I65" s="69">
        <v>10.41</v>
      </c>
      <c r="J65" s="69">
        <v>10.25</v>
      </c>
      <c r="K65" s="69">
        <v>24.5</v>
      </c>
      <c r="L65" s="69">
        <v>11.3</v>
      </c>
      <c r="AA65">
        <v>14.4</v>
      </c>
    </row>
    <row r="66" spans="1:27" ht="15" thickBot="1" x14ac:dyDescent="0.35">
      <c r="A66" s="62">
        <v>10</v>
      </c>
      <c r="B66" s="62">
        <v>1</v>
      </c>
      <c r="C66" s="62" t="s">
        <v>305</v>
      </c>
      <c r="D66" s="70">
        <f>A62*3</f>
        <v>30</v>
      </c>
      <c r="E66" s="70">
        <v>25</v>
      </c>
      <c r="F66" s="70">
        <v>12.1</v>
      </c>
      <c r="G66" s="70">
        <v>12.5</v>
      </c>
      <c r="H66" s="70">
        <v>10.220000000000001</v>
      </c>
      <c r="I66" s="70">
        <v>10.41</v>
      </c>
      <c r="J66" s="70">
        <v>10.25</v>
      </c>
      <c r="K66" s="70">
        <v>29.5</v>
      </c>
      <c r="L66" s="70">
        <v>11.3</v>
      </c>
      <c r="AA66">
        <v>19.399999999999999</v>
      </c>
    </row>
    <row r="67" spans="1:27" x14ac:dyDescent="0.3">
      <c r="A67" s="31">
        <v>10</v>
      </c>
      <c r="B67" s="31">
        <v>1.25</v>
      </c>
      <c r="C67" s="31" t="s">
        <v>301</v>
      </c>
      <c r="D67" s="69">
        <f>A67*1</f>
        <v>10</v>
      </c>
      <c r="E67" s="69">
        <v>6</v>
      </c>
      <c r="F67" s="69">
        <v>12.1</v>
      </c>
      <c r="G67" s="69">
        <v>12.5</v>
      </c>
      <c r="H67" s="69">
        <v>10.27</v>
      </c>
      <c r="I67" s="69">
        <v>10.48</v>
      </c>
      <c r="J67" s="69">
        <v>10.4</v>
      </c>
      <c r="K67" s="69">
        <v>9.4</v>
      </c>
      <c r="L67" s="69">
        <v>11.62</v>
      </c>
      <c r="Y67" t="s">
        <v>330</v>
      </c>
      <c r="AA67">
        <v>24.4</v>
      </c>
    </row>
    <row r="68" spans="1:27" x14ac:dyDescent="0.3">
      <c r="A68" s="31">
        <v>10</v>
      </c>
      <c r="B68" s="31">
        <v>1.25</v>
      </c>
      <c r="C68" s="31" t="s">
        <v>302</v>
      </c>
      <c r="D68" s="69">
        <f>A67*1.5</f>
        <v>15</v>
      </c>
      <c r="E68" s="69">
        <v>9.6999999999999993</v>
      </c>
      <c r="F68" s="69">
        <v>12.1</v>
      </c>
      <c r="G68" s="69">
        <v>12.5</v>
      </c>
      <c r="H68" s="69">
        <v>10.27</v>
      </c>
      <c r="I68" s="69">
        <v>10.48</v>
      </c>
      <c r="J68" s="69">
        <v>10.4</v>
      </c>
      <c r="K68" s="69">
        <v>14.4</v>
      </c>
      <c r="L68" s="69">
        <v>11.62</v>
      </c>
      <c r="Y68">
        <v>9.6999999999999993</v>
      </c>
      <c r="AA68">
        <v>29.4</v>
      </c>
    </row>
    <row r="69" spans="1:27" x14ac:dyDescent="0.3">
      <c r="A69" s="31">
        <v>10</v>
      </c>
      <c r="B69" s="31">
        <v>1.25</v>
      </c>
      <c r="C69" s="31" t="s">
        <v>303</v>
      </c>
      <c r="D69" s="69">
        <f>A67*2</f>
        <v>20</v>
      </c>
      <c r="E69" s="69">
        <v>13.1</v>
      </c>
      <c r="F69" s="69">
        <v>12.1</v>
      </c>
      <c r="G69" s="69">
        <v>12.5</v>
      </c>
      <c r="H69" s="69">
        <v>10.27</v>
      </c>
      <c r="I69" s="69">
        <v>10.48</v>
      </c>
      <c r="J69" s="69">
        <v>10.4</v>
      </c>
      <c r="K69" s="69">
        <v>19.399999999999999</v>
      </c>
      <c r="L69" s="69">
        <v>11.62</v>
      </c>
      <c r="Y69">
        <v>141</v>
      </c>
      <c r="AA69">
        <v>10.199999999999999</v>
      </c>
    </row>
    <row r="70" spans="1:27" x14ac:dyDescent="0.3">
      <c r="A70" s="31">
        <v>10</v>
      </c>
      <c r="B70" s="31">
        <v>1.25</v>
      </c>
      <c r="C70" s="31" t="s">
        <v>304</v>
      </c>
      <c r="D70" s="69">
        <f>A67*2.5</f>
        <v>25</v>
      </c>
      <c r="E70" s="69">
        <v>16.899999999999999</v>
      </c>
      <c r="F70" s="69">
        <v>12.1</v>
      </c>
      <c r="G70" s="69">
        <v>12.5</v>
      </c>
      <c r="H70" s="69">
        <v>10.27</v>
      </c>
      <c r="I70" s="69">
        <v>10.48</v>
      </c>
      <c r="J70" s="69">
        <v>10.4</v>
      </c>
      <c r="K70" s="69">
        <v>24.4</v>
      </c>
      <c r="L70" s="69">
        <v>11.62</v>
      </c>
      <c r="Y70">
        <v>16.899999999999999</v>
      </c>
      <c r="AA70">
        <v>21.2</v>
      </c>
    </row>
    <row r="71" spans="1:27" ht="15" thickBot="1" x14ac:dyDescent="0.35">
      <c r="A71" s="62">
        <v>10</v>
      </c>
      <c r="B71" s="62">
        <v>1.25</v>
      </c>
      <c r="C71" s="62" t="s">
        <v>305</v>
      </c>
      <c r="D71" s="70">
        <f>A67*3</f>
        <v>30</v>
      </c>
      <c r="E71" s="70">
        <v>20.100000000000001</v>
      </c>
      <c r="F71" s="70">
        <v>12.1</v>
      </c>
      <c r="G71" s="70">
        <v>12.5</v>
      </c>
      <c r="H71" s="70">
        <v>10.27</v>
      </c>
      <c r="I71" s="70">
        <v>10.48</v>
      </c>
      <c r="J71" s="70">
        <v>10.4</v>
      </c>
      <c r="K71" s="70">
        <v>29.4</v>
      </c>
      <c r="L71" s="70">
        <v>11.62</v>
      </c>
      <c r="Y71">
        <v>46</v>
      </c>
      <c r="AA71">
        <v>26.7</v>
      </c>
    </row>
    <row r="72" spans="1:27" x14ac:dyDescent="0.3">
      <c r="A72" s="31">
        <v>11</v>
      </c>
      <c r="B72" s="31">
        <v>1.5</v>
      </c>
      <c r="C72" s="31" t="s">
        <v>301</v>
      </c>
      <c r="D72" s="69">
        <f>A72*1</f>
        <v>11</v>
      </c>
      <c r="E72" s="69">
        <v>5.6</v>
      </c>
      <c r="F72" s="69">
        <v>13.1</v>
      </c>
      <c r="G72" s="69">
        <v>13.5</v>
      </c>
      <c r="H72" s="69">
        <v>11.33</v>
      </c>
      <c r="I72" s="69">
        <v>11.56</v>
      </c>
      <c r="J72" s="69">
        <v>11.5</v>
      </c>
      <c r="K72" s="69">
        <v>10.199999999999999</v>
      </c>
      <c r="L72" s="69">
        <v>12.95</v>
      </c>
      <c r="Y72">
        <v>9</v>
      </c>
      <c r="AA72">
        <v>32.200000000000003</v>
      </c>
    </row>
    <row r="73" spans="1:27" x14ac:dyDescent="0.3">
      <c r="A73" s="31">
        <v>11</v>
      </c>
      <c r="B73" s="31">
        <v>1.5</v>
      </c>
      <c r="C73" s="31" t="s">
        <v>302</v>
      </c>
      <c r="D73" s="69">
        <f>A72*1.5</f>
        <v>16.5</v>
      </c>
      <c r="E73" s="69">
        <v>9</v>
      </c>
      <c r="F73" s="69">
        <v>13.1</v>
      </c>
      <c r="G73" s="69">
        <v>13.5</v>
      </c>
      <c r="H73" s="69">
        <v>11.33</v>
      </c>
      <c r="I73" s="69">
        <v>11.56</v>
      </c>
      <c r="J73" s="69">
        <v>11.5</v>
      </c>
      <c r="K73" s="69">
        <v>15.7</v>
      </c>
      <c r="L73" s="69">
        <v>12.95</v>
      </c>
      <c r="Y73">
        <v>143</v>
      </c>
    </row>
    <row r="74" spans="1:27" x14ac:dyDescent="0.3">
      <c r="A74" s="31">
        <v>11</v>
      </c>
      <c r="B74" s="31">
        <v>1.5</v>
      </c>
      <c r="C74" s="31" t="s">
        <v>303</v>
      </c>
      <c r="D74" s="69">
        <f>A72*2</f>
        <v>22</v>
      </c>
      <c r="E74" s="69">
        <v>12.3</v>
      </c>
      <c r="F74" s="69">
        <v>13.1</v>
      </c>
      <c r="G74" s="69">
        <v>13.5</v>
      </c>
      <c r="H74" s="69">
        <v>11.33</v>
      </c>
      <c r="I74" s="69">
        <v>11.56</v>
      </c>
      <c r="J74" s="69">
        <v>11.5</v>
      </c>
      <c r="K74" s="69">
        <v>21.2</v>
      </c>
      <c r="L74" s="69">
        <v>12.95</v>
      </c>
      <c r="Y74" t="s">
        <v>331</v>
      </c>
    </row>
    <row r="75" spans="1:27" x14ac:dyDescent="0.3">
      <c r="A75" s="31">
        <v>11</v>
      </c>
      <c r="B75" s="31">
        <v>1.5</v>
      </c>
      <c r="C75" s="31" t="s">
        <v>304</v>
      </c>
      <c r="D75" s="69">
        <f>A72*2.5</f>
        <v>27.5</v>
      </c>
      <c r="E75" s="69">
        <v>15.7</v>
      </c>
      <c r="F75" s="69">
        <v>13.1</v>
      </c>
      <c r="G75" s="69">
        <v>13.5</v>
      </c>
      <c r="H75" s="69">
        <v>11.33</v>
      </c>
      <c r="I75" s="69">
        <v>11.56</v>
      </c>
      <c r="J75" s="69">
        <v>11.5</v>
      </c>
      <c r="K75" s="69">
        <v>26.7</v>
      </c>
      <c r="L75" s="69">
        <v>12.95</v>
      </c>
      <c r="Y75" t="s">
        <v>332</v>
      </c>
    </row>
    <row r="76" spans="1:27" ht="15" thickBot="1" x14ac:dyDescent="0.35">
      <c r="A76" s="62">
        <v>11</v>
      </c>
      <c r="B76" s="62">
        <v>1.5</v>
      </c>
      <c r="C76" s="62" t="s">
        <v>305</v>
      </c>
      <c r="D76" s="70">
        <f>A72*3</f>
        <v>33</v>
      </c>
      <c r="E76" s="70">
        <v>19.100000000000001</v>
      </c>
      <c r="F76" s="70">
        <v>13.1</v>
      </c>
      <c r="G76" s="70">
        <v>13.5</v>
      </c>
      <c r="H76" s="70">
        <v>11.33</v>
      </c>
      <c r="I76" s="70">
        <v>11.56</v>
      </c>
      <c r="J76" s="70">
        <v>11.5</v>
      </c>
      <c r="K76" s="70">
        <v>32.200000000000003</v>
      </c>
      <c r="L76" s="70">
        <v>12.95</v>
      </c>
      <c r="Y76">
        <v>8.4</v>
      </c>
    </row>
    <row r="77" spans="1:27" x14ac:dyDescent="0.3">
      <c r="A77" s="31">
        <v>12</v>
      </c>
      <c r="B77" s="31">
        <v>1.75</v>
      </c>
      <c r="C77" s="31" t="s">
        <v>301</v>
      </c>
      <c r="D77" s="69">
        <f>A77*1</f>
        <v>12</v>
      </c>
      <c r="E77" s="61">
        <v>5.2</v>
      </c>
      <c r="F77" s="61">
        <v>14.4</v>
      </c>
      <c r="G77" s="61">
        <v>14.8</v>
      </c>
      <c r="H77" s="61">
        <v>12.38</v>
      </c>
      <c r="I77" s="68">
        <v>12.64</v>
      </c>
      <c r="J77" s="61">
        <v>12.5</v>
      </c>
      <c r="K77" s="61">
        <v>11.1</v>
      </c>
      <c r="L77" s="61">
        <v>14.27</v>
      </c>
      <c r="Y77" t="s">
        <v>333</v>
      </c>
    </row>
    <row r="78" spans="1:27" x14ac:dyDescent="0.3">
      <c r="A78" s="31">
        <v>12</v>
      </c>
      <c r="B78" s="31">
        <v>1.75</v>
      </c>
      <c r="C78" s="31" t="s">
        <v>302</v>
      </c>
      <c r="D78" s="69">
        <f>A77*1.5</f>
        <v>18</v>
      </c>
      <c r="E78" s="61">
        <v>8.4</v>
      </c>
      <c r="F78" s="61">
        <v>14.4</v>
      </c>
      <c r="G78" s="61">
        <v>14.8</v>
      </c>
      <c r="H78" s="61">
        <v>12.38</v>
      </c>
      <c r="I78" s="68">
        <v>12.64</v>
      </c>
      <c r="J78" s="61">
        <v>12.5</v>
      </c>
      <c r="K78" s="61">
        <v>17.100000000000001</v>
      </c>
      <c r="L78" s="61">
        <v>14.27</v>
      </c>
      <c r="Y78">
        <v>14.7</v>
      </c>
    </row>
    <row r="79" spans="1:27" x14ac:dyDescent="0.3">
      <c r="A79" s="31">
        <v>12</v>
      </c>
      <c r="B79" s="31">
        <v>1.75</v>
      </c>
      <c r="C79" s="31" t="s">
        <v>303</v>
      </c>
      <c r="D79" s="69">
        <f>A77*2</f>
        <v>24</v>
      </c>
      <c r="E79" s="61">
        <v>11.7</v>
      </c>
      <c r="F79" s="61">
        <v>14.4</v>
      </c>
      <c r="G79" s="61">
        <v>14.8</v>
      </c>
      <c r="H79" s="61">
        <v>12.38</v>
      </c>
      <c r="I79" s="68">
        <v>12.64</v>
      </c>
      <c r="J79" s="61">
        <v>12.5</v>
      </c>
      <c r="K79" s="61">
        <v>23.1</v>
      </c>
      <c r="L79" s="61">
        <v>14.27</v>
      </c>
      <c r="Y79" t="s">
        <v>334</v>
      </c>
    </row>
    <row r="80" spans="1:27" x14ac:dyDescent="0.3">
      <c r="A80" s="31">
        <v>12</v>
      </c>
      <c r="B80" s="31">
        <v>1.75</v>
      </c>
      <c r="C80" s="31" t="s">
        <v>304</v>
      </c>
      <c r="D80" s="69">
        <f>A77*2.5</f>
        <v>30</v>
      </c>
      <c r="E80" s="61">
        <v>14.7</v>
      </c>
      <c r="F80" s="61">
        <v>14.4</v>
      </c>
      <c r="G80" s="61">
        <v>14.8</v>
      </c>
      <c r="H80" s="61">
        <v>12.38</v>
      </c>
      <c r="I80" s="68">
        <v>12.64</v>
      </c>
      <c r="J80" s="61">
        <v>12.5</v>
      </c>
      <c r="K80" s="61">
        <v>29.1</v>
      </c>
      <c r="L80" s="61">
        <v>14.27</v>
      </c>
      <c r="Y80">
        <v>14.5</v>
      </c>
    </row>
    <row r="81" spans="1:25" ht="15" thickBot="1" x14ac:dyDescent="0.35">
      <c r="A81" s="31">
        <v>12</v>
      </c>
      <c r="B81" s="31">
        <v>1.75</v>
      </c>
      <c r="C81" s="62" t="s">
        <v>305</v>
      </c>
      <c r="D81" s="70">
        <f>A77*3</f>
        <v>36</v>
      </c>
      <c r="E81" s="61">
        <v>18</v>
      </c>
      <c r="F81" s="61">
        <v>14.4</v>
      </c>
      <c r="G81" s="61">
        <v>14.8</v>
      </c>
      <c r="H81" s="61">
        <v>12.38</v>
      </c>
      <c r="I81" s="68">
        <v>12.64</v>
      </c>
      <c r="J81" s="61">
        <v>12.5</v>
      </c>
      <c r="K81" s="61">
        <v>35.1</v>
      </c>
      <c r="L81" s="61">
        <v>14.27</v>
      </c>
      <c r="Y81" t="s">
        <v>335</v>
      </c>
    </row>
    <row r="82" spans="1:25" x14ac:dyDescent="0.3">
      <c r="A82" s="31">
        <v>12</v>
      </c>
      <c r="B82" s="31">
        <v>1</v>
      </c>
      <c r="C82" s="31" t="s">
        <v>301</v>
      </c>
      <c r="D82" s="69">
        <f>A82*1</f>
        <v>12</v>
      </c>
      <c r="E82" s="61">
        <v>9.3000000000000007</v>
      </c>
      <c r="F82" s="61">
        <v>14.4</v>
      </c>
      <c r="G82" s="61">
        <v>14.8</v>
      </c>
      <c r="H82" s="61">
        <v>12.22</v>
      </c>
      <c r="I82" s="68">
        <v>12.41</v>
      </c>
      <c r="J82" s="61">
        <v>12.25</v>
      </c>
      <c r="K82" s="61">
        <v>11.5</v>
      </c>
      <c r="L82" s="61">
        <v>13.3</v>
      </c>
      <c r="Y82">
        <v>24.8</v>
      </c>
    </row>
    <row r="83" spans="1:25" x14ac:dyDescent="0.3">
      <c r="A83" s="31">
        <v>12</v>
      </c>
      <c r="B83" s="31">
        <v>1</v>
      </c>
      <c r="C83" s="31" t="s">
        <v>302</v>
      </c>
      <c r="D83" s="69">
        <f>A82*1.5</f>
        <v>18</v>
      </c>
      <c r="E83" s="61">
        <v>14.5</v>
      </c>
      <c r="F83" s="61">
        <v>14.4</v>
      </c>
      <c r="G83" s="61">
        <v>14.8</v>
      </c>
      <c r="H83" s="61">
        <v>12.22</v>
      </c>
      <c r="I83" s="68">
        <v>12.41</v>
      </c>
      <c r="J83" s="61">
        <v>12.25</v>
      </c>
      <c r="K83" s="61">
        <v>17.5</v>
      </c>
      <c r="L83" s="61">
        <v>13.3</v>
      </c>
      <c r="Y83" t="s">
        <v>336</v>
      </c>
    </row>
    <row r="84" spans="1:25" x14ac:dyDescent="0.3">
      <c r="A84" s="31">
        <v>12</v>
      </c>
      <c r="B84" s="31">
        <v>1</v>
      </c>
      <c r="C84" s="31" t="s">
        <v>303</v>
      </c>
      <c r="D84" s="69">
        <f>A82*2</f>
        <v>24</v>
      </c>
      <c r="E84" s="61">
        <v>19.5</v>
      </c>
      <c r="F84" s="61">
        <v>14.4</v>
      </c>
      <c r="G84" s="61">
        <v>14.8</v>
      </c>
      <c r="H84" s="61">
        <v>12.22</v>
      </c>
      <c r="I84" s="68">
        <v>12.41</v>
      </c>
      <c r="J84" s="61">
        <v>12.25</v>
      </c>
      <c r="K84" s="61">
        <v>23.5</v>
      </c>
      <c r="L84" s="61">
        <v>13.3</v>
      </c>
      <c r="Y84">
        <v>11.6</v>
      </c>
    </row>
    <row r="85" spans="1:25" x14ac:dyDescent="0.3">
      <c r="A85" s="31">
        <v>12</v>
      </c>
      <c r="B85" s="31">
        <v>1</v>
      </c>
      <c r="C85" s="31" t="s">
        <v>304</v>
      </c>
      <c r="D85" s="69">
        <f>A82*2.5</f>
        <v>30</v>
      </c>
      <c r="E85" s="61">
        <v>24.8</v>
      </c>
      <c r="F85" s="61">
        <v>14.4</v>
      </c>
      <c r="G85" s="61">
        <v>14.8</v>
      </c>
      <c r="H85" s="61">
        <v>12.22</v>
      </c>
      <c r="I85" s="68">
        <v>12.41</v>
      </c>
      <c r="J85" s="61">
        <v>12.25</v>
      </c>
      <c r="K85" s="61">
        <v>29.5</v>
      </c>
      <c r="L85" s="61">
        <v>13.3</v>
      </c>
      <c r="Y85" t="s">
        <v>337</v>
      </c>
    </row>
    <row r="86" spans="1:25" ht="15" thickBot="1" x14ac:dyDescent="0.35">
      <c r="A86" s="31">
        <v>12</v>
      </c>
      <c r="B86" s="31">
        <v>1</v>
      </c>
      <c r="C86" s="62" t="s">
        <v>305</v>
      </c>
      <c r="D86" s="70">
        <f>A82*3</f>
        <v>36</v>
      </c>
      <c r="E86" s="61">
        <v>30</v>
      </c>
      <c r="F86" s="61">
        <v>14.4</v>
      </c>
      <c r="G86" s="61">
        <v>14.8</v>
      </c>
      <c r="H86" s="61">
        <v>12.22</v>
      </c>
      <c r="I86" s="68">
        <v>12.41</v>
      </c>
      <c r="J86" s="61">
        <v>12.25</v>
      </c>
      <c r="K86" s="61">
        <v>35.5</v>
      </c>
      <c r="L86" s="61">
        <v>13.3</v>
      </c>
      <c r="Y86">
        <v>20</v>
      </c>
    </row>
    <row r="87" spans="1:25" x14ac:dyDescent="0.3">
      <c r="A87" s="31">
        <v>12</v>
      </c>
      <c r="B87" s="31">
        <v>1.25</v>
      </c>
      <c r="C87" s="31" t="s">
        <v>301</v>
      </c>
      <c r="D87" s="69">
        <f>A87*1</f>
        <v>12</v>
      </c>
      <c r="E87" s="61">
        <v>7.4</v>
      </c>
      <c r="F87" s="61">
        <v>14.4</v>
      </c>
      <c r="G87" s="61">
        <v>14.8</v>
      </c>
      <c r="H87" s="61">
        <v>12.27</v>
      </c>
      <c r="I87" s="68">
        <v>12.48</v>
      </c>
      <c r="J87" s="61">
        <v>12.25</v>
      </c>
      <c r="K87" s="61">
        <v>11.4</v>
      </c>
      <c r="L87" s="61">
        <v>13.62</v>
      </c>
      <c r="Y87" t="s">
        <v>338</v>
      </c>
    </row>
    <row r="88" spans="1:25" x14ac:dyDescent="0.3">
      <c r="A88" s="31">
        <v>12</v>
      </c>
      <c r="B88" s="31">
        <v>1.25</v>
      </c>
      <c r="C88" s="31" t="s">
        <v>302</v>
      </c>
      <c r="D88" s="69">
        <f>A87*1.5</f>
        <v>18</v>
      </c>
      <c r="E88" s="61">
        <v>11.6</v>
      </c>
      <c r="F88" s="61">
        <v>14.4</v>
      </c>
      <c r="G88" s="61">
        <v>14.8</v>
      </c>
      <c r="H88" s="61">
        <v>12.27</v>
      </c>
      <c r="I88" s="68">
        <v>12.48</v>
      </c>
      <c r="J88" s="61">
        <v>12.25</v>
      </c>
      <c r="K88" s="61">
        <v>17.399999999999999</v>
      </c>
      <c r="L88" s="61">
        <v>13.62</v>
      </c>
      <c r="Y88">
        <v>62</v>
      </c>
    </row>
    <row r="89" spans="1:25" x14ac:dyDescent="0.3">
      <c r="A89" s="31">
        <v>12</v>
      </c>
      <c r="B89" s="31">
        <v>1.25</v>
      </c>
      <c r="C89" s="31" t="s">
        <v>303</v>
      </c>
      <c r="D89" s="69">
        <f>A87*2</f>
        <v>24</v>
      </c>
      <c r="E89" s="61">
        <v>15.9</v>
      </c>
      <c r="F89" s="61">
        <v>14.4</v>
      </c>
      <c r="G89" s="61">
        <v>14.8</v>
      </c>
      <c r="H89" s="61">
        <v>12.27</v>
      </c>
      <c r="I89" s="68">
        <v>12.48</v>
      </c>
      <c r="J89" s="61">
        <v>12.25</v>
      </c>
      <c r="K89" s="61">
        <v>23.4</v>
      </c>
      <c r="L89" s="61">
        <v>13.62</v>
      </c>
      <c r="Y89">
        <v>9.8000000000000007</v>
      </c>
    </row>
    <row r="90" spans="1:25" x14ac:dyDescent="0.3">
      <c r="A90" s="31">
        <v>12</v>
      </c>
      <c r="B90" s="31">
        <v>1.25</v>
      </c>
      <c r="C90" s="31" t="s">
        <v>304</v>
      </c>
      <c r="D90" s="69">
        <f>A87*2.5</f>
        <v>30</v>
      </c>
      <c r="E90" s="61">
        <v>20</v>
      </c>
      <c r="F90" s="61">
        <v>14.4</v>
      </c>
      <c r="G90" s="61">
        <v>14.8</v>
      </c>
      <c r="H90" s="61">
        <v>12.27</v>
      </c>
      <c r="I90" s="68">
        <v>12.48</v>
      </c>
      <c r="J90" s="61">
        <v>12.25</v>
      </c>
      <c r="K90" s="61">
        <v>29.4</v>
      </c>
      <c r="L90" s="61">
        <v>13.62</v>
      </c>
      <c r="Y90" t="s">
        <v>329</v>
      </c>
    </row>
    <row r="91" spans="1:25" ht="15" thickBot="1" x14ac:dyDescent="0.35">
      <c r="A91" s="31">
        <v>12</v>
      </c>
      <c r="B91" s="31">
        <v>1.25</v>
      </c>
      <c r="C91" s="62" t="s">
        <v>305</v>
      </c>
      <c r="D91" s="70">
        <f>A87*3</f>
        <v>36</v>
      </c>
      <c r="E91" s="61">
        <v>24.3</v>
      </c>
      <c r="F91" s="61">
        <v>14.4</v>
      </c>
      <c r="G91" s="61">
        <v>14.8</v>
      </c>
      <c r="H91" s="61">
        <v>12.27</v>
      </c>
      <c r="I91" s="68">
        <v>12.48</v>
      </c>
      <c r="J91" s="61">
        <v>12.25</v>
      </c>
      <c r="K91" s="61">
        <v>35.4</v>
      </c>
      <c r="L91" s="61">
        <v>13.62</v>
      </c>
      <c r="Y91" t="s">
        <v>339</v>
      </c>
    </row>
    <row r="92" spans="1:25" x14ac:dyDescent="0.3">
      <c r="A92" s="31">
        <v>12</v>
      </c>
      <c r="B92" s="31">
        <v>1.5</v>
      </c>
      <c r="C92" s="31" t="s">
        <v>301</v>
      </c>
      <c r="D92" s="69">
        <f>A92*1</f>
        <v>12</v>
      </c>
      <c r="E92" s="61">
        <v>6.2</v>
      </c>
      <c r="F92" s="61">
        <v>14.4</v>
      </c>
      <c r="G92" s="61">
        <v>14.8</v>
      </c>
      <c r="H92" s="61">
        <v>12.32</v>
      </c>
      <c r="I92" s="68">
        <v>12.56</v>
      </c>
      <c r="J92" s="61">
        <v>12.5</v>
      </c>
      <c r="K92" s="61">
        <v>11.2</v>
      </c>
      <c r="L92" s="61">
        <v>13.95</v>
      </c>
    </row>
    <row r="93" spans="1:25" x14ac:dyDescent="0.3">
      <c r="A93" s="31">
        <v>12</v>
      </c>
      <c r="B93" s="31">
        <v>1.5</v>
      </c>
      <c r="C93" s="31" t="s">
        <v>302</v>
      </c>
      <c r="D93" s="69">
        <f>A92*1.5</f>
        <v>18</v>
      </c>
      <c r="E93" s="61">
        <v>9.8000000000000007</v>
      </c>
      <c r="F93" s="61">
        <v>14.4</v>
      </c>
      <c r="G93" s="61">
        <v>14.8</v>
      </c>
      <c r="H93" s="61">
        <v>12.32</v>
      </c>
      <c r="I93" s="68">
        <v>12.56</v>
      </c>
      <c r="J93" s="61">
        <v>12.5</v>
      </c>
      <c r="K93" s="61">
        <v>17.2</v>
      </c>
      <c r="L93" s="61">
        <v>13.95</v>
      </c>
    </row>
    <row r="94" spans="1:25" x14ac:dyDescent="0.3">
      <c r="A94" s="31">
        <v>12</v>
      </c>
      <c r="B94" s="31">
        <v>1.5</v>
      </c>
      <c r="C94" s="31" t="s">
        <v>303</v>
      </c>
      <c r="D94" s="69">
        <f>A92*2</f>
        <v>24</v>
      </c>
      <c r="E94" s="61">
        <v>13.5</v>
      </c>
      <c r="F94" s="61">
        <v>14.4</v>
      </c>
      <c r="G94" s="61">
        <v>14.8</v>
      </c>
      <c r="H94" s="61">
        <v>12.32</v>
      </c>
      <c r="I94" s="68">
        <v>12.56</v>
      </c>
      <c r="J94" s="61">
        <v>12.5</v>
      </c>
      <c r="K94" s="61">
        <v>23.2</v>
      </c>
      <c r="L94" s="61">
        <v>13.95</v>
      </c>
    </row>
    <row r="95" spans="1:25" x14ac:dyDescent="0.3">
      <c r="A95" s="31">
        <v>12</v>
      </c>
      <c r="B95" s="31">
        <v>1.5</v>
      </c>
      <c r="C95" s="31" t="s">
        <v>304</v>
      </c>
      <c r="D95" s="69">
        <f>A92*2.5</f>
        <v>30</v>
      </c>
      <c r="E95" s="61">
        <v>17.100000000000001</v>
      </c>
      <c r="F95" s="61">
        <v>14.4</v>
      </c>
      <c r="G95" s="61">
        <v>14.8</v>
      </c>
      <c r="H95" s="61">
        <v>12.32</v>
      </c>
      <c r="I95" s="68">
        <v>12.56</v>
      </c>
      <c r="J95" s="61">
        <v>12.5</v>
      </c>
      <c r="K95" s="61">
        <v>29.2</v>
      </c>
      <c r="L95" s="61">
        <v>13.95</v>
      </c>
    </row>
    <row r="96" spans="1:25" ht="15" thickBot="1" x14ac:dyDescent="0.35">
      <c r="A96" s="31">
        <v>12</v>
      </c>
      <c r="B96" s="31">
        <v>1.5</v>
      </c>
      <c r="C96" s="62" t="s">
        <v>305</v>
      </c>
      <c r="D96" s="70">
        <f>A92*3</f>
        <v>36</v>
      </c>
      <c r="E96" s="61">
        <v>20.8</v>
      </c>
      <c r="F96" s="61">
        <v>14.4</v>
      </c>
      <c r="G96" s="61">
        <v>14.8</v>
      </c>
      <c r="H96" s="61">
        <v>12.32</v>
      </c>
      <c r="I96" s="68">
        <v>12.56</v>
      </c>
      <c r="J96" s="61">
        <v>12.5</v>
      </c>
      <c r="K96" s="61">
        <v>35.200000000000003</v>
      </c>
      <c r="L96" s="61">
        <v>13.95</v>
      </c>
    </row>
    <row r="97" spans="1:12" x14ac:dyDescent="0.3">
      <c r="A97" s="31">
        <v>14</v>
      </c>
      <c r="B97" s="31">
        <v>2</v>
      </c>
      <c r="C97" s="31" t="s">
        <v>301</v>
      </c>
      <c r="D97" s="69">
        <f>A97*1</f>
        <v>14</v>
      </c>
      <c r="E97" s="69">
        <v>5.6</v>
      </c>
      <c r="F97" s="69">
        <v>16.8</v>
      </c>
      <c r="G97" s="69">
        <v>17.2</v>
      </c>
      <c r="H97" s="69">
        <v>14.43</v>
      </c>
      <c r="I97" s="69">
        <v>14.73</v>
      </c>
      <c r="J97" s="69">
        <v>14.5</v>
      </c>
      <c r="K97" s="69">
        <v>13</v>
      </c>
      <c r="L97" s="69">
        <v>16.600000000000001</v>
      </c>
    </row>
    <row r="98" spans="1:12" x14ac:dyDescent="0.3">
      <c r="A98" s="31">
        <v>14</v>
      </c>
      <c r="B98" s="31">
        <v>2</v>
      </c>
      <c r="C98" s="31" t="s">
        <v>302</v>
      </c>
      <c r="D98" s="69">
        <f>A97*1.5</f>
        <v>21</v>
      </c>
      <c r="E98" s="69">
        <v>8.8000000000000007</v>
      </c>
      <c r="F98" s="69">
        <v>16.8</v>
      </c>
      <c r="G98" s="69">
        <v>17.2</v>
      </c>
      <c r="H98" s="69">
        <v>14.43</v>
      </c>
      <c r="I98" s="69">
        <v>14.73</v>
      </c>
      <c r="J98" s="69">
        <v>14.5</v>
      </c>
      <c r="K98" s="69">
        <v>20</v>
      </c>
      <c r="L98" s="69">
        <v>16.600000000000001</v>
      </c>
    </row>
    <row r="99" spans="1:12" x14ac:dyDescent="0.3">
      <c r="A99" s="31">
        <v>14</v>
      </c>
      <c r="B99" s="31">
        <v>2</v>
      </c>
      <c r="C99" s="31" t="s">
        <v>303</v>
      </c>
      <c r="D99" s="69">
        <f>A97*2</f>
        <v>28</v>
      </c>
      <c r="E99" s="69">
        <v>12</v>
      </c>
      <c r="F99" s="69">
        <v>16.8</v>
      </c>
      <c r="G99" s="69">
        <v>17.2</v>
      </c>
      <c r="H99" s="69">
        <v>14.43</v>
      </c>
      <c r="I99" s="69">
        <v>14.73</v>
      </c>
      <c r="J99" s="69">
        <v>14.5</v>
      </c>
      <c r="K99" s="69">
        <v>27</v>
      </c>
      <c r="L99" s="69">
        <v>16.600000000000001</v>
      </c>
    </row>
    <row r="100" spans="1:12" x14ac:dyDescent="0.3">
      <c r="A100" s="31">
        <v>14</v>
      </c>
      <c r="B100" s="31">
        <v>2</v>
      </c>
      <c r="C100" s="31" t="s">
        <v>304</v>
      </c>
      <c r="D100" s="69">
        <f>A97*2.5</f>
        <v>35</v>
      </c>
      <c r="E100" s="69">
        <v>15.2</v>
      </c>
      <c r="F100" s="69">
        <v>16.8</v>
      </c>
      <c r="G100" s="69">
        <v>17.2</v>
      </c>
      <c r="H100" s="69">
        <v>14.43</v>
      </c>
      <c r="I100" s="69">
        <v>14.73</v>
      </c>
      <c r="J100" s="69">
        <v>14.5</v>
      </c>
      <c r="K100" s="69">
        <v>34</v>
      </c>
      <c r="L100" s="69">
        <v>16.600000000000001</v>
      </c>
    </row>
    <row r="101" spans="1:12" x14ac:dyDescent="0.3">
      <c r="A101" s="31">
        <v>14</v>
      </c>
      <c r="B101" s="31"/>
      <c r="C101" s="31"/>
      <c r="D101" s="69"/>
      <c r="E101" s="69"/>
      <c r="F101" s="69"/>
      <c r="G101" s="69"/>
      <c r="H101" s="69"/>
      <c r="I101" s="69"/>
      <c r="J101" s="69"/>
      <c r="K101" s="69"/>
      <c r="L101" s="69"/>
    </row>
    <row r="102" spans="1:12" x14ac:dyDescent="0.3">
      <c r="A102" s="31">
        <v>14</v>
      </c>
      <c r="B102" s="31">
        <v>1</v>
      </c>
      <c r="C102" s="31" t="s">
        <v>301</v>
      </c>
      <c r="D102" s="69">
        <f>A102*1</f>
        <v>14</v>
      </c>
      <c r="E102" s="69">
        <v>11.2</v>
      </c>
      <c r="F102" s="69">
        <v>16.8</v>
      </c>
      <c r="G102" s="69">
        <v>17.2</v>
      </c>
      <c r="H102" s="69">
        <v>14.22</v>
      </c>
      <c r="I102" s="69">
        <v>14.41</v>
      </c>
      <c r="J102" s="69">
        <v>14.25</v>
      </c>
      <c r="K102" s="69">
        <v>13.5</v>
      </c>
      <c r="L102" s="69">
        <v>15.3</v>
      </c>
    </row>
    <row r="103" spans="1:12" x14ac:dyDescent="0.3">
      <c r="A103" s="31">
        <v>14</v>
      </c>
      <c r="B103" s="31">
        <v>1</v>
      </c>
      <c r="C103" s="31" t="s">
        <v>302</v>
      </c>
      <c r="D103" s="69">
        <f>A102*1.5</f>
        <v>21</v>
      </c>
      <c r="E103" s="69">
        <v>17.2</v>
      </c>
      <c r="F103" s="69">
        <v>16.8</v>
      </c>
      <c r="G103" s="69">
        <v>17.2</v>
      </c>
      <c r="H103" s="69">
        <v>14.22</v>
      </c>
      <c r="I103" s="69">
        <v>14.41</v>
      </c>
      <c r="J103" s="69">
        <v>14.25</v>
      </c>
      <c r="K103" s="69">
        <v>20.5</v>
      </c>
      <c r="L103" s="69">
        <v>15.3</v>
      </c>
    </row>
    <row r="104" spans="1:12" x14ac:dyDescent="0.3">
      <c r="A104" s="31">
        <v>14</v>
      </c>
      <c r="B104" s="31">
        <v>1</v>
      </c>
      <c r="C104" s="31" t="s">
        <v>303</v>
      </c>
      <c r="D104" s="69">
        <f>A102*2</f>
        <v>28</v>
      </c>
      <c r="E104" s="69">
        <v>23.2</v>
      </c>
      <c r="F104" s="69">
        <v>16.8</v>
      </c>
      <c r="G104" s="69">
        <v>17.2</v>
      </c>
      <c r="H104" s="69">
        <v>14.22</v>
      </c>
      <c r="I104" s="69">
        <v>14.41</v>
      </c>
      <c r="J104" s="69">
        <v>14.25</v>
      </c>
      <c r="K104" s="69">
        <v>27.5</v>
      </c>
      <c r="L104" s="69">
        <v>15.3</v>
      </c>
    </row>
    <row r="105" spans="1:12" x14ac:dyDescent="0.3">
      <c r="A105" s="31">
        <v>14</v>
      </c>
      <c r="B105" s="31">
        <v>1</v>
      </c>
      <c r="C105" s="31" t="s">
        <v>304</v>
      </c>
      <c r="D105" s="69">
        <f>A102*2.5</f>
        <v>35</v>
      </c>
      <c r="E105" s="69">
        <v>29.2</v>
      </c>
      <c r="F105" s="69">
        <v>16.8</v>
      </c>
      <c r="G105" s="69">
        <v>17.2</v>
      </c>
      <c r="H105" s="69">
        <v>14.22</v>
      </c>
      <c r="I105" s="69">
        <v>14.41</v>
      </c>
      <c r="J105" s="69">
        <v>14.25</v>
      </c>
      <c r="K105" s="69">
        <v>34.5</v>
      </c>
      <c r="L105" s="69">
        <v>15.3</v>
      </c>
    </row>
    <row r="106" spans="1:12" x14ac:dyDescent="0.3">
      <c r="A106" s="31">
        <v>14</v>
      </c>
      <c r="E106" s="69"/>
      <c r="F106" s="69"/>
      <c r="G106" s="69"/>
      <c r="H106" s="69"/>
      <c r="I106" s="69"/>
      <c r="J106" s="69"/>
      <c r="K106" s="69"/>
      <c r="L106" s="69"/>
    </row>
    <row r="107" spans="1:12" x14ac:dyDescent="0.3">
      <c r="A107" s="31">
        <v>14</v>
      </c>
      <c r="B107" s="31">
        <v>1.25</v>
      </c>
      <c r="C107" s="31" t="s">
        <v>301</v>
      </c>
      <c r="D107" s="69">
        <f>A107*1</f>
        <v>14</v>
      </c>
      <c r="E107" s="69">
        <v>4.5999999999999996</v>
      </c>
      <c r="F107" s="69">
        <v>16.8</v>
      </c>
      <c r="G107" s="69">
        <v>17.2</v>
      </c>
      <c r="H107" s="69">
        <v>14.27</v>
      </c>
      <c r="I107" s="69">
        <v>14.48</v>
      </c>
      <c r="J107" s="69">
        <v>14.25</v>
      </c>
      <c r="K107" s="69">
        <v>7.8</v>
      </c>
      <c r="L107" s="69">
        <v>15.62</v>
      </c>
    </row>
    <row r="108" spans="1:12" x14ac:dyDescent="0.3">
      <c r="A108" s="31">
        <v>14</v>
      </c>
      <c r="B108" s="31">
        <v>1.25</v>
      </c>
      <c r="C108" s="31" t="s">
        <v>302</v>
      </c>
      <c r="D108" s="69">
        <f>A107*1.5</f>
        <v>21</v>
      </c>
      <c r="E108" s="69">
        <v>7.4</v>
      </c>
      <c r="F108" s="69">
        <v>16.8</v>
      </c>
      <c r="G108" s="69">
        <v>17.2</v>
      </c>
      <c r="H108" s="69">
        <v>14.27</v>
      </c>
      <c r="I108" s="69">
        <v>14.48</v>
      </c>
      <c r="J108" s="69">
        <v>14.25</v>
      </c>
      <c r="K108" s="69">
        <v>11.8</v>
      </c>
      <c r="L108" s="69">
        <v>15.62</v>
      </c>
    </row>
    <row r="109" spans="1:12" x14ac:dyDescent="0.3">
      <c r="A109" s="31">
        <v>14</v>
      </c>
      <c r="B109" s="31">
        <v>1.25</v>
      </c>
      <c r="C109" s="31" t="s">
        <v>303</v>
      </c>
      <c r="D109" s="69">
        <f>A107*2</f>
        <v>28</v>
      </c>
      <c r="E109" s="69">
        <v>9.1</v>
      </c>
      <c r="F109" s="69">
        <v>16.8</v>
      </c>
      <c r="G109" s="69">
        <v>17.2</v>
      </c>
      <c r="H109" s="69">
        <v>14.27</v>
      </c>
      <c r="I109" s="69">
        <v>14.48</v>
      </c>
      <c r="J109" s="69">
        <v>14.25</v>
      </c>
      <c r="K109" s="69">
        <v>13.8</v>
      </c>
      <c r="L109" s="69">
        <v>15.62</v>
      </c>
    </row>
    <row r="110" spans="1:12" x14ac:dyDescent="0.3">
      <c r="A110" s="31">
        <v>14</v>
      </c>
      <c r="B110" s="31">
        <v>1.25</v>
      </c>
      <c r="C110" s="31" t="s">
        <v>304</v>
      </c>
      <c r="D110" s="69">
        <f>A107*2.5</f>
        <v>35</v>
      </c>
      <c r="E110" s="69">
        <v>10.199999999999999</v>
      </c>
      <c r="F110" s="69">
        <v>16.8</v>
      </c>
      <c r="G110" s="69">
        <v>17.2</v>
      </c>
      <c r="H110" s="69">
        <v>14.27</v>
      </c>
      <c r="I110" s="69">
        <v>14.48</v>
      </c>
      <c r="J110" s="69">
        <v>14.25</v>
      </c>
      <c r="K110" s="69">
        <v>15.8</v>
      </c>
      <c r="L110" s="69">
        <v>15.62</v>
      </c>
    </row>
    <row r="111" spans="1:12" x14ac:dyDescent="0.3">
      <c r="A111" s="31">
        <v>14</v>
      </c>
      <c r="E111" s="69"/>
      <c r="F111" s="69"/>
      <c r="G111" s="69"/>
      <c r="H111" s="69"/>
      <c r="I111" s="69"/>
      <c r="J111" s="69"/>
      <c r="K111" s="69"/>
      <c r="L111" s="69"/>
    </row>
    <row r="112" spans="1:12" x14ac:dyDescent="0.3">
      <c r="A112" s="31">
        <v>14</v>
      </c>
      <c r="B112" s="31">
        <v>1.5</v>
      </c>
      <c r="C112" s="31" t="s">
        <v>301</v>
      </c>
      <c r="D112" s="69">
        <f>A112*1</f>
        <v>14</v>
      </c>
      <c r="E112" s="69">
        <v>7.4</v>
      </c>
      <c r="F112" s="69">
        <v>16.8</v>
      </c>
      <c r="G112" s="69">
        <v>17.2</v>
      </c>
      <c r="H112" s="69">
        <v>14.38</v>
      </c>
      <c r="I112" s="69">
        <v>14.56</v>
      </c>
      <c r="J112" s="69">
        <v>14.5</v>
      </c>
      <c r="K112" s="69">
        <v>13.2</v>
      </c>
      <c r="L112" s="69">
        <v>15.95</v>
      </c>
    </row>
    <row r="113" spans="1:12" x14ac:dyDescent="0.3">
      <c r="A113" s="31">
        <v>14</v>
      </c>
      <c r="B113" s="31">
        <v>1.5</v>
      </c>
      <c r="C113" s="31" t="s">
        <v>302</v>
      </c>
      <c r="D113" s="69">
        <f>A112*1.5</f>
        <v>21</v>
      </c>
      <c r="E113" s="69">
        <v>11.6</v>
      </c>
      <c r="F113" s="69">
        <v>16.8</v>
      </c>
      <c r="G113" s="69">
        <v>17.2</v>
      </c>
      <c r="H113" s="69">
        <v>14.38</v>
      </c>
      <c r="I113" s="69">
        <v>14.56</v>
      </c>
      <c r="J113" s="69">
        <v>14.5</v>
      </c>
      <c r="K113" s="69">
        <v>20.2</v>
      </c>
      <c r="L113" s="69">
        <v>15.95</v>
      </c>
    </row>
    <row r="114" spans="1:12" x14ac:dyDescent="0.3">
      <c r="A114" s="31">
        <v>14</v>
      </c>
      <c r="B114" s="31">
        <v>1.5</v>
      </c>
      <c r="C114" s="31" t="s">
        <v>303</v>
      </c>
      <c r="D114" s="69">
        <f>A112*2</f>
        <v>28</v>
      </c>
      <c r="E114" s="69">
        <v>15.7</v>
      </c>
      <c r="F114" s="69">
        <v>16.8</v>
      </c>
      <c r="G114" s="69">
        <v>17.2</v>
      </c>
      <c r="H114" s="69">
        <v>14.38</v>
      </c>
      <c r="I114" s="69">
        <v>14.56</v>
      </c>
      <c r="J114" s="69">
        <v>14.5</v>
      </c>
      <c r="K114" s="69">
        <v>27.2</v>
      </c>
      <c r="L114" s="69">
        <v>15.95</v>
      </c>
    </row>
    <row r="115" spans="1:12" x14ac:dyDescent="0.3">
      <c r="A115" s="31">
        <v>14</v>
      </c>
      <c r="B115" s="31">
        <v>1.5</v>
      </c>
      <c r="C115" s="31" t="s">
        <v>304</v>
      </c>
      <c r="D115" s="69">
        <f>A112*2.5</f>
        <v>35</v>
      </c>
      <c r="E115" s="69">
        <v>19.899999999999999</v>
      </c>
      <c r="F115" s="69">
        <v>16.8</v>
      </c>
      <c r="G115" s="69">
        <v>17.2</v>
      </c>
      <c r="H115" s="69">
        <v>14.38</v>
      </c>
      <c r="I115" s="69">
        <v>14.56</v>
      </c>
      <c r="J115" s="69">
        <v>14.5</v>
      </c>
      <c r="K115" s="69">
        <v>34.200000000000003</v>
      </c>
      <c r="L115" s="69">
        <v>15.95</v>
      </c>
    </row>
    <row r="116" spans="1:12" x14ac:dyDescent="0.3">
      <c r="A116" s="31">
        <v>14</v>
      </c>
      <c r="E116" s="69"/>
      <c r="F116" s="69"/>
      <c r="G116" s="69"/>
      <c r="H116" s="69"/>
      <c r="I116" s="69"/>
      <c r="J116" s="69"/>
      <c r="K116" s="69"/>
      <c r="L116" s="69"/>
    </row>
    <row r="117" spans="1:12" x14ac:dyDescent="0.3">
      <c r="A117" s="31">
        <v>16</v>
      </c>
      <c r="B117" s="31">
        <v>2</v>
      </c>
      <c r="C117" s="31" t="s">
        <v>301</v>
      </c>
      <c r="D117" s="69">
        <f>A117*1</f>
        <v>16</v>
      </c>
      <c r="E117" s="107">
        <v>6.5</v>
      </c>
      <c r="F117" s="107">
        <v>19</v>
      </c>
      <c r="G117" s="107">
        <v>19.399999999999999</v>
      </c>
      <c r="H117" s="107">
        <v>16.43</v>
      </c>
      <c r="I117" s="107">
        <v>16.73</v>
      </c>
      <c r="J117" s="107">
        <v>16.5</v>
      </c>
      <c r="K117" s="107">
        <v>15</v>
      </c>
      <c r="L117" s="69">
        <v>18.600000000000001</v>
      </c>
    </row>
    <row r="118" spans="1:12" x14ac:dyDescent="0.3">
      <c r="A118" s="31">
        <v>16</v>
      </c>
      <c r="B118" s="31">
        <v>2</v>
      </c>
      <c r="C118" s="31" t="s">
        <v>302</v>
      </c>
      <c r="D118" s="69">
        <f>A117*1.5</f>
        <v>24</v>
      </c>
      <c r="E118" s="107">
        <v>10.1</v>
      </c>
      <c r="F118" s="107">
        <v>19</v>
      </c>
      <c r="G118" s="107">
        <v>19.399999999999999</v>
      </c>
      <c r="H118" s="107">
        <v>16.43</v>
      </c>
      <c r="I118" s="107">
        <v>16.73</v>
      </c>
      <c r="J118" s="107">
        <v>16.5</v>
      </c>
      <c r="K118" s="107">
        <v>23</v>
      </c>
      <c r="L118" s="69">
        <v>18.600000000000001</v>
      </c>
    </row>
    <row r="119" spans="1:12" x14ac:dyDescent="0.3">
      <c r="A119" s="31">
        <v>16</v>
      </c>
      <c r="B119" s="31">
        <v>2</v>
      </c>
      <c r="C119" s="31" t="s">
        <v>303</v>
      </c>
      <c r="D119" s="69">
        <f>A117*2</f>
        <v>32</v>
      </c>
      <c r="E119" s="107">
        <v>13.8</v>
      </c>
      <c r="F119" s="107">
        <v>19</v>
      </c>
      <c r="G119" s="107">
        <v>19.399999999999999</v>
      </c>
      <c r="H119" s="107">
        <v>16.43</v>
      </c>
      <c r="I119" s="107">
        <v>16.73</v>
      </c>
      <c r="J119" s="107">
        <v>16.5</v>
      </c>
      <c r="K119" s="107">
        <v>31</v>
      </c>
      <c r="L119" s="69">
        <v>18.600000000000001</v>
      </c>
    </row>
    <row r="120" spans="1:12" x14ac:dyDescent="0.3">
      <c r="A120" s="31">
        <v>16</v>
      </c>
      <c r="B120" s="31">
        <v>2</v>
      </c>
      <c r="C120" s="31" t="s">
        <v>304</v>
      </c>
      <c r="D120" s="69">
        <f>A117*2.5</f>
        <v>40</v>
      </c>
      <c r="E120" s="107">
        <v>17.5</v>
      </c>
      <c r="F120" s="107">
        <v>19</v>
      </c>
      <c r="G120" s="107">
        <v>19.399999999999999</v>
      </c>
      <c r="H120" s="107">
        <v>16.43</v>
      </c>
      <c r="I120" s="107">
        <v>16.73</v>
      </c>
      <c r="J120" s="107">
        <v>16.5</v>
      </c>
      <c r="K120" s="107">
        <v>39</v>
      </c>
      <c r="L120" s="69">
        <v>18.600000000000001</v>
      </c>
    </row>
    <row r="121" spans="1:12" x14ac:dyDescent="0.3">
      <c r="A121" s="31">
        <v>16</v>
      </c>
    </row>
    <row r="122" spans="1:12" x14ac:dyDescent="0.3">
      <c r="A122" s="31">
        <v>16</v>
      </c>
      <c r="B122" s="31">
        <v>2</v>
      </c>
      <c r="C122" s="31" t="s">
        <v>301</v>
      </c>
      <c r="D122" s="69">
        <f>A122*1</f>
        <v>16</v>
      </c>
      <c r="E122" s="69">
        <v>8.6999999999999993</v>
      </c>
      <c r="F122" s="107">
        <v>19</v>
      </c>
      <c r="G122" s="107">
        <v>19.399999999999999</v>
      </c>
      <c r="H122" s="69">
        <v>16.32</v>
      </c>
      <c r="I122" s="69">
        <v>16.559999999999999</v>
      </c>
      <c r="J122" s="69">
        <v>16.5</v>
      </c>
      <c r="K122" s="69">
        <v>15.2</v>
      </c>
      <c r="L122" s="69">
        <v>17.95</v>
      </c>
    </row>
    <row r="123" spans="1:12" x14ac:dyDescent="0.3">
      <c r="A123" s="31">
        <v>16</v>
      </c>
      <c r="B123" s="31">
        <v>2</v>
      </c>
      <c r="C123" s="31" t="s">
        <v>302</v>
      </c>
      <c r="D123" s="69">
        <f>A122*1.5</f>
        <v>24</v>
      </c>
      <c r="E123" s="69">
        <v>13.4</v>
      </c>
      <c r="F123" s="107">
        <v>19</v>
      </c>
      <c r="G123" s="107">
        <v>19.399999999999999</v>
      </c>
      <c r="H123" s="69">
        <v>16.32</v>
      </c>
      <c r="I123" s="69">
        <v>16.559999999999999</v>
      </c>
      <c r="J123" s="69">
        <v>16.5</v>
      </c>
      <c r="K123" s="69">
        <v>23.2</v>
      </c>
      <c r="L123" s="69">
        <v>17.95</v>
      </c>
    </row>
    <row r="124" spans="1:12" x14ac:dyDescent="0.3">
      <c r="A124" s="31">
        <v>16</v>
      </c>
      <c r="B124" s="31">
        <v>2</v>
      </c>
      <c r="C124" s="31" t="s">
        <v>303</v>
      </c>
      <c r="D124" s="69">
        <f>A122*2</f>
        <v>32</v>
      </c>
      <c r="E124" s="69">
        <v>18.100000000000001</v>
      </c>
      <c r="F124" s="107">
        <v>19</v>
      </c>
      <c r="G124" s="107">
        <v>19.399999999999999</v>
      </c>
      <c r="H124" s="69">
        <v>16.32</v>
      </c>
      <c r="I124" s="69">
        <v>16.559999999999999</v>
      </c>
      <c r="J124" s="69">
        <v>16.5</v>
      </c>
      <c r="K124" s="69">
        <v>31.2</v>
      </c>
      <c r="L124" s="69">
        <v>17.95</v>
      </c>
    </row>
    <row r="125" spans="1:12" x14ac:dyDescent="0.3">
      <c r="A125" s="31">
        <v>16</v>
      </c>
      <c r="B125" s="31">
        <v>2</v>
      </c>
      <c r="C125" s="31" t="s">
        <v>304</v>
      </c>
      <c r="D125" s="69">
        <f>A122*2.5</f>
        <v>40</v>
      </c>
      <c r="E125" s="69">
        <v>22.9</v>
      </c>
      <c r="F125" s="107">
        <v>19</v>
      </c>
      <c r="G125" s="107">
        <v>19.399999999999999</v>
      </c>
      <c r="H125" s="69">
        <v>16.32</v>
      </c>
      <c r="I125" s="69">
        <v>16.559999999999999</v>
      </c>
      <c r="J125" s="69">
        <v>16.5</v>
      </c>
      <c r="K125" s="69">
        <v>39.200000000000003</v>
      </c>
      <c r="L125" s="69">
        <v>17.95</v>
      </c>
    </row>
    <row r="126" spans="1:12" x14ac:dyDescent="0.3">
      <c r="A126" s="31">
        <v>16</v>
      </c>
    </row>
    <row r="127" spans="1:12" x14ac:dyDescent="0.3">
      <c r="A127" s="31">
        <v>18</v>
      </c>
      <c r="B127" s="31">
        <v>2.5</v>
      </c>
      <c r="C127" s="31" t="s">
        <v>739</v>
      </c>
      <c r="D127" s="69">
        <f>Tabla3[[#This Row],[Metrica]]*0.5</f>
        <v>9</v>
      </c>
      <c r="E127" s="72">
        <v>2.2999999999999998</v>
      </c>
      <c r="F127" s="72">
        <v>21.5</v>
      </c>
      <c r="G127" s="72">
        <v>22</v>
      </c>
      <c r="H127" s="72">
        <v>18.54</v>
      </c>
      <c r="I127" s="72">
        <v>18.899999999999999</v>
      </c>
      <c r="J127" s="72">
        <v>18.75</v>
      </c>
      <c r="K127" s="72">
        <v>7.7</v>
      </c>
      <c r="L127" s="72">
        <v>21.25</v>
      </c>
    </row>
    <row r="128" spans="1:12" x14ac:dyDescent="0.3">
      <c r="A128" s="31">
        <v>18</v>
      </c>
      <c r="B128" s="31">
        <v>2.5</v>
      </c>
      <c r="C128" s="31" t="s">
        <v>740</v>
      </c>
      <c r="D128" s="69">
        <f>Tabla3[[#This Row],[Metrica]]*0.75</f>
        <v>13.5</v>
      </c>
      <c r="E128" s="72">
        <v>3.8</v>
      </c>
      <c r="F128" s="72">
        <v>21.5</v>
      </c>
      <c r="G128" s="72">
        <v>22</v>
      </c>
      <c r="H128" s="72">
        <v>18.54</v>
      </c>
      <c r="I128" s="72">
        <v>18.899999999999999</v>
      </c>
      <c r="J128" s="72">
        <v>18.75</v>
      </c>
      <c r="K128" s="72">
        <v>12.2</v>
      </c>
      <c r="L128" s="72">
        <v>21.25</v>
      </c>
    </row>
    <row r="129" spans="1:12" x14ac:dyDescent="0.3">
      <c r="A129" s="31">
        <v>18</v>
      </c>
      <c r="B129" s="31">
        <v>2.5</v>
      </c>
      <c r="C129" s="31" t="s">
        <v>301</v>
      </c>
      <c r="D129" s="69">
        <f>Tabla3[[#This Row],[Metrica]]*1</f>
        <v>18</v>
      </c>
      <c r="E129" s="72">
        <v>5.6</v>
      </c>
      <c r="F129" s="72">
        <v>21.5</v>
      </c>
      <c r="G129" s="72">
        <v>22</v>
      </c>
      <c r="H129" s="72">
        <v>18.54</v>
      </c>
      <c r="I129" s="72">
        <v>18.899999999999999</v>
      </c>
      <c r="J129" s="72">
        <v>18.75</v>
      </c>
      <c r="K129" s="72">
        <v>16.7</v>
      </c>
      <c r="L129" s="72">
        <v>21.25</v>
      </c>
    </row>
    <row r="130" spans="1:12" x14ac:dyDescent="0.3">
      <c r="A130" s="31">
        <v>18</v>
      </c>
      <c r="B130" s="31">
        <v>2.5</v>
      </c>
      <c r="C130" s="31" t="s">
        <v>302</v>
      </c>
      <c r="D130" s="69">
        <f>Tabla3[[#This Row],[Metrica]]*1.5</f>
        <v>27</v>
      </c>
      <c r="E130" s="72">
        <v>9</v>
      </c>
      <c r="F130" s="72">
        <v>21.5</v>
      </c>
      <c r="G130" s="72">
        <v>22</v>
      </c>
      <c r="H130" s="72">
        <v>18.54</v>
      </c>
      <c r="I130" s="72">
        <v>18.899999999999999</v>
      </c>
      <c r="J130" s="72">
        <v>18.75</v>
      </c>
      <c r="K130" s="72">
        <v>25.7</v>
      </c>
      <c r="L130" s="72">
        <v>21.25</v>
      </c>
    </row>
    <row r="131" spans="1:12" x14ac:dyDescent="0.3">
      <c r="A131" s="31">
        <v>18</v>
      </c>
      <c r="B131" s="31">
        <v>2.5</v>
      </c>
      <c r="C131" s="31" t="s">
        <v>741</v>
      </c>
      <c r="D131" s="69">
        <f>Tabla3[[#This Row],[Metrica]]*2</f>
        <v>36</v>
      </c>
      <c r="E131" s="72">
        <v>12.3</v>
      </c>
      <c r="F131" s="72">
        <v>21.5</v>
      </c>
      <c r="G131" s="72">
        <v>22</v>
      </c>
      <c r="H131" s="72">
        <v>18.54</v>
      </c>
      <c r="I131" s="72">
        <v>18.899999999999999</v>
      </c>
      <c r="J131" s="72">
        <v>18.75</v>
      </c>
      <c r="K131" s="72">
        <v>34.700000000000003</v>
      </c>
      <c r="L131" s="72">
        <v>21.25</v>
      </c>
    </row>
    <row r="132" spans="1:12" x14ac:dyDescent="0.3">
      <c r="A132" s="31"/>
      <c r="B132" s="31"/>
      <c r="C132" s="31"/>
      <c r="D132" s="69"/>
    </row>
    <row r="133" spans="1:12" x14ac:dyDescent="0.3">
      <c r="A133" s="31"/>
      <c r="B133" s="31"/>
      <c r="C133" s="31"/>
      <c r="D133" s="69"/>
    </row>
    <row r="134" spans="1:12" x14ac:dyDescent="0.3">
      <c r="A134" s="31"/>
      <c r="B134" s="31"/>
      <c r="C134" s="31"/>
      <c r="D134" s="69"/>
    </row>
    <row r="135" spans="1:12" x14ac:dyDescent="0.3">
      <c r="A135" s="31"/>
      <c r="B135" s="31"/>
      <c r="C135" s="31"/>
      <c r="D135" s="69"/>
    </row>
    <row r="137" spans="1:12" x14ac:dyDescent="0.3">
      <c r="A137" s="31"/>
      <c r="B137" s="31"/>
      <c r="C137" s="31"/>
      <c r="D137" s="69"/>
    </row>
    <row r="138" spans="1:12" x14ac:dyDescent="0.3">
      <c r="A138" s="31"/>
      <c r="B138" s="31"/>
      <c r="C138" s="31"/>
      <c r="D138" s="69"/>
    </row>
    <row r="139" spans="1:12" x14ac:dyDescent="0.3">
      <c r="A139" s="31"/>
      <c r="B139" s="31"/>
      <c r="C139" s="31"/>
      <c r="D139" s="69"/>
    </row>
    <row r="140" spans="1:12" x14ac:dyDescent="0.3">
      <c r="A140" s="31"/>
      <c r="B140" s="31"/>
      <c r="C140" s="31"/>
      <c r="D140" s="69"/>
    </row>
    <row r="142" spans="1:12" x14ac:dyDescent="0.3">
      <c r="A142" s="31"/>
      <c r="B142" s="31"/>
      <c r="C142" s="31"/>
      <c r="D142" s="69"/>
    </row>
    <row r="143" spans="1:12" x14ac:dyDescent="0.3">
      <c r="A143" s="31"/>
      <c r="B143" s="31"/>
      <c r="C143" s="31"/>
      <c r="D143" s="69"/>
    </row>
    <row r="144" spans="1:12" x14ac:dyDescent="0.3">
      <c r="A144" s="31"/>
      <c r="B144" s="31"/>
      <c r="C144" s="31"/>
      <c r="D144" s="69"/>
    </row>
    <row r="145" spans="1:4" x14ac:dyDescent="0.3">
      <c r="A145" s="31"/>
      <c r="B145" s="31"/>
      <c r="C145" s="31"/>
      <c r="D145" s="69"/>
    </row>
    <row r="146" spans="1:4" x14ac:dyDescent="0.3">
      <c r="A146" s="31"/>
      <c r="B146" s="31"/>
      <c r="C146" s="31"/>
      <c r="D146" s="69"/>
    </row>
    <row r="148" spans="1:4" x14ac:dyDescent="0.3">
      <c r="A148" s="31"/>
      <c r="B148" s="31"/>
      <c r="C148" s="31"/>
      <c r="D148" s="69"/>
    </row>
    <row r="149" spans="1:4" x14ac:dyDescent="0.3">
      <c r="A149" s="31"/>
      <c r="B149" s="31"/>
      <c r="C149" s="31"/>
      <c r="D149" s="69"/>
    </row>
    <row r="150" spans="1:4" x14ac:dyDescent="0.3">
      <c r="A150" s="31"/>
      <c r="B150" s="31"/>
      <c r="C150" s="31"/>
      <c r="D150" s="69"/>
    </row>
    <row r="151" spans="1:4" x14ac:dyDescent="0.3">
      <c r="A151" s="31"/>
      <c r="B151" s="31"/>
      <c r="C151" s="31"/>
      <c r="D151" s="69"/>
    </row>
    <row r="152" spans="1:4" x14ac:dyDescent="0.3">
      <c r="A152" s="31"/>
      <c r="B152" s="31"/>
      <c r="C152" s="31"/>
      <c r="D152" s="69"/>
    </row>
    <row r="154" spans="1:4" x14ac:dyDescent="0.3">
      <c r="A154" s="31"/>
      <c r="B154" s="31"/>
      <c r="C154" s="31"/>
      <c r="D154" s="69"/>
    </row>
    <row r="155" spans="1:4" x14ac:dyDescent="0.3">
      <c r="A155" s="31"/>
      <c r="B155" s="31"/>
      <c r="C155" s="31"/>
      <c r="D155" s="69"/>
    </row>
    <row r="156" spans="1:4" x14ac:dyDescent="0.3">
      <c r="A156" s="31"/>
      <c r="B156" s="31"/>
      <c r="C156" s="31"/>
      <c r="D156" s="69"/>
    </row>
    <row r="157" spans="1:4" x14ac:dyDescent="0.3">
      <c r="A157" s="31"/>
      <c r="B157" s="31"/>
      <c r="C157" s="31"/>
      <c r="D157" s="69"/>
    </row>
    <row r="158" spans="1:4" x14ac:dyDescent="0.3">
      <c r="A158" s="31"/>
      <c r="B158" s="31"/>
      <c r="C158" s="31"/>
      <c r="D158" s="69"/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E678-18AC-4C30-A0E9-78D025CB403D}">
  <dimension ref="A1:V44"/>
  <sheetViews>
    <sheetView zoomScale="25" zoomScaleNormal="25" workbookViewId="0">
      <selection activeCell="Q5" sqref="Q5:T5"/>
    </sheetView>
  </sheetViews>
  <sheetFormatPr baseColWidth="10" defaultRowHeight="14.4" x14ac:dyDescent="0.3"/>
  <cols>
    <col min="1" max="1" width="9.44140625" customWidth="1"/>
    <col min="2" max="2" width="7.44140625" bestFit="1" customWidth="1"/>
    <col min="3" max="3" width="8.44140625" bestFit="1" customWidth="1"/>
    <col min="4" max="4" width="7.5546875" bestFit="1" customWidth="1"/>
    <col min="5" max="5" width="14" bestFit="1" customWidth="1"/>
    <col min="6" max="6" width="16.44140625" bestFit="1" customWidth="1"/>
    <col min="7" max="7" width="7" bestFit="1" customWidth="1"/>
    <col min="8" max="8" width="7.109375" bestFit="1" customWidth="1"/>
    <col min="9" max="9" width="7.33203125" bestFit="1" customWidth="1"/>
    <col min="10" max="10" width="13.33203125" bestFit="1" customWidth="1"/>
    <col min="13" max="13" width="5.109375" bestFit="1" customWidth="1"/>
    <col min="14" max="14" width="7.33203125" bestFit="1" customWidth="1"/>
    <col min="15" max="15" width="18.109375" customWidth="1"/>
    <col min="16" max="16" width="3.88671875" customWidth="1"/>
    <col min="17" max="17" width="9.109375" customWidth="1"/>
    <col min="18" max="18" width="7.88671875" customWidth="1"/>
    <col min="19" max="19" width="19" bestFit="1" customWidth="1"/>
    <col min="20" max="20" width="4.6640625" bestFit="1" customWidth="1"/>
    <col min="21" max="21" width="2" bestFit="1" customWidth="1"/>
    <col min="22" max="22" width="3.88671875" bestFit="1" customWidth="1"/>
  </cols>
  <sheetData>
    <row r="1" spans="1:22" x14ac:dyDescent="0.3">
      <c r="O1" t="s">
        <v>150</v>
      </c>
    </row>
    <row r="2" spans="1:22" x14ac:dyDescent="0.3">
      <c r="E2" s="25" t="s">
        <v>151</v>
      </c>
      <c r="F2" s="25" t="s">
        <v>152</v>
      </c>
    </row>
    <row r="3" spans="1:22" x14ac:dyDescent="0.3">
      <c r="A3" s="122" t="s">
        <v>153</v>
      </c>
      <c r="B3" s="123"/>
      <c r="C3" s="124"/>
      <c r="D3" s="125" t="s">
        <v>154</v>
      </c>
      <c r="E3" s="27" t="s">
        <v>155</v>
      </c>
      <c r="F3" s="27" t="s">
        <v>156</v>
      </c>
      <c r="G3" s="125" t="s">
        <v>9</v>
      </c>
      <c r="H3" s="28" t="s">
        <v>157</v>
      </c>
      <c r="I3" s="27" t="s">
        <v>158</v>
      </c>
      <c r="J3" s="27" t="s">
        <v>159</v>
      </c>
      <c r="N3" t="s">
        <v>151</v>
      </c>
      <c r="O3" t="s">
        <v>248</v>
      </c>
    </row>
    <row r="4" spans="1:22" x14ac:dyDescent="0.3">
      <c r="A4" s="26" t="s">
        <v>160</v>
      </c>
      <c r="B4" s="26" t="s">
        <v>161</v>
      </c>
      <c r="C4" s="26" t="s">
        <v>162</v>
      </c>
      <c r="D4" s="126"/>
      <c r="E4" s="27" t="s">
        <v>163</v>
      </c>
      <c r="F4" s="27" t="s">
        <v>8</v>
      </c>
      <c r="G4" s="126"/>
      <c r="H4" s="29" t="s">
        <v>10</v>
      </c>
      <c r="I4" s="27" t="s">
        <v>11</v>
      </c>
      <c r="J4" s="27" t="s">
        <v>164</v>
      </c>
      <c r="N4" t="s">
        <v>249</v>
      </c>
      <c r="O4" t="s">
        <v>250</v>
      </c>
    </row>
    <row r="5" spans="1:22" x14ac:dyDescent="0.3">
      <c r="A5" s="24">
        <v>1</v>
      </c>
      <c r="B5" s="24"/>
      <c r="C5" s="24"/>
      <c r="D5" s="23" t="s">
        <v>165</v>
      </c>
      <c r="E5" s="20" t="s">
        <v>166</v>
      </c>
      <c r="F5" s="20" t="s">
        <v>167</v>
      </c>
      <c r="G5" s="20" t="s">
        <v>168</v>
      </c>
      <c r="H5" s="20" t="s">
        <v>169</v>
      </c>
      <c r="I5" s="20" t="s">
        <v>170</v>
      </c>
      <c r="J5" s="20" t="s">
        <v>171</v>
      </c>
      <c r="O5" s="127" t="s">
        <v>251</v>
      </c>
      <c r="P5" s="127"/>
      <c r="Q5" s="127" t="s">
        <v>252</v>
      </c>
      <c r="R5" s="127"/>
      <c r="S5" s="127"/>
    </row>
    <row r="6" spans="1:22" x14ac:dyDescent="0.3">
      <c r="A6" s="24"/>
      <c r="B6" s="24" t="s">
        <v>172</v>
      </c>
      <c r="C6" s="24"/>
      <c r="D6" s="23" t="s">
        <v>165</v>
      </c>
      <c r="E6" s="20" t="s">
        <v>173</v>
      </c>
      <c r="F6" s="20" t="s">
        <v>174</v>
      </c>
      <c r="G6" s="20" t="s">
        <v>175</v>
      </c>
      <c r="H6" s="20" t="s">
        <v>169</v>
      </c>
      <c r="I6" s="20" t="s">
        <v>170</v>
      </c>
      <c r="J6" s="20" t="s">
        <v>171</v>
      </c>
      <c r="O6" t="s">
        <v>253</v>
      </c>
      <c r="P6" t="s">
        <v>254</v>
      </c>
      <c r="V6" t="s">
        <v>255</v>
      </c>
    </row>
    <row r="7" spans="1:22" x14ac:dyDescent="0.3">
      <c r="A7" s="24" t="s">
        <v>176</v>
      </c>
      <c r="B7" s="24"/>
      <c r="C7" s="24"/>
      <c r="D7" s="23" t="s">
        <v>165</v>
      </c>
      <c r="E7" s="21">
        <v>1038</v>
      </c>
      <c r="F7" s="20" t="s">
        <v>177</v>
      </c>
      <c r="G7" s="20" t="s">
        <v>178</v>
      </c>
      <c r="H7" s="20" t="s">
        <v>169</v>
      </c>
      <c r="I7" s="20" t="s">
        <v>170</v>
      </c>
      <c r="J7" s="20" t="s">
        <v>171</v>
      </c>
      <c r="N7" s="31" t="s">
        <v>257</v>
      </c>
      <c r="O7" t="s">
        <v>256</v>
      </c>
      <c r="P7" t="s">
        <v>256</v>
      </c>
      <c r="R7" t="s">
        <v>256</v>
      </c>
      <c r="S7" t="s">
        <v>256</v>
      </c>
      <c r="U7" t="s">
        <v>256</v>
      </c>
    </row>
    <row r="8" spans="1:22" x14ac:dyDescent="0.3">
      <c r="A8" s="22"/>
      <c r="B8" s="22" t="s">
        <v>179</v>
      </c>
      <c r="C8" s="22"/>
      <c r="D8" s="23" t="s">
        <v>180</v>
      </c>
      <c r="E8" s="21">
        <v>1205</v>
      </c>
      <c r="F8" s="21">
        <v>1032</v>
      </c>
      <c r="G8" s="20" t="s">
        <v>181</v>
      </c>
      <c r="H8" s="20" t="s">
        <v>182</v>
      </c>
      <c r="I8" s="20" t="s">
        <v>183</v>
      </c>
      <c r="J8" s="20" t="s">
        <v>184</v>
      </c>
      <c r="N8">
        <v>0.2</v>
      </c>
      <c r="O8">
        <v>17</v>
      </c>
      <c r="P8">
        <v>0</v>
      </c>
      <c r="S8">
        <v>-17</v>
      </c>
    </row>
    <row r="9" spans="1:22" x14ac:dyDescent="0.3">
      <c r="A9" s="22" t="s">
        <v>185</v>
      </c>
      <c r="B9" s="22"/>
      <c r="C9" s="22"/>
      <c r="D9" s="23" t="s">
        <v>186</v>
      </c>
      <c r="E9" s="21">
        <v>1373</v>
      </c>
      <c r="F9" s="21">
        <v>1171</v>
      </c>
      <c r="G9" s="21">
        <v>1221</v>
      </c>
      <c r="H9" s="20" t="s">
        <v>187</v>
      </c>
      <c r="I9" s="20" t="s">
        <v>188</v>
      </c>
      <c r="J9" s="20" t="s">
        <v>189</v>
      </c>
      <c r="N9">
        <v>0.25</v>
      </c>
      <c r="O9">
        <v>18</v>
      </c>
      <c r="P9">
        <v>0</v>
      </c>
      <c r="S9">
        <v>-18</v>
      </c>
    </row>
    <row r="10" spans="1:22" x14ac:dyDescent="0.3">
      <c r="A10" s="22"/>
      <c r="B10" s="22" t="s">
        <v>190</v>
      </c>
      <c r="C10" s="22"/>
      <c r="D10" s="23" t="s">
        <v>186</v>
      </c>
      <c r="E10" s="21">
        <v>1573</v>
      </c>
      <c r="F10" s="21">
        <v>1371</v>
      </c>
      <c r="G10" s="21">
        <v>1421</v>
      </c>
      <c r="H10" s="20" t="s">
        <v>187</v>
      </c>
      <c r="I10" s="20" t="s">
        <v>188</v>
      </c>
      <c r="J10" s="20" t="s">
        <v>189</v>
      </c>
      <c r="N10">
        <v>0.3</v>
      </c>
      <c r="O10">
        <v>18</v>
      </c>
      <c r="P10">
        <v>0</v>
      </c>
      <c r="S10">
        <v>-18</v>
      </c>
    </row>
    <row r="11" spans="1:22" x14ac:dyDescent="0.3">
      <c r="A11" s="22"/>
      <c r="B11" s="22"/>
      <c r="C11" s="22"/>
      <c r="D11" s="23" t="s">
        <v>191</v>
      </c>
      <c r="E11" s="21">
        <v>1740</v>
      </c>
      <c r="F11" s="21">
        <v>1509</v>
      </c>
      <c r="G11" s="21">
        <v>1567</v>
      </c>
      <c r="H11" s="20" t="s">
        <v>192</v>
      </c>
      <c r="I11" s="20" t="s">
        <v>193</v>
      </c>
      <c r="J11" s="20" t="s">
        <v>194</v>
      </c>
      <c r="N11">
        <v>0.35</v>
      </c>
      <c r="O11">
        <v>19</v>
      </c>
      <c r="P11">
        <v>0</v>
      </c>
      <c r="R11">
        <v>-34</v>
      </c>
      <c r="S11">
        <v>-19</v>
      </c>
    </row>
    <row r="12" spans="1:22" x14ac:dyDescent="0.3">
      <c r="A12" s="22"/>
      <c r="B12" s="22" t="s">
        <v>195</v>
      </c>
      <c r="C12" s="22"/>
      <c r="D12" s="23" t="s">
        <v>196</v>
      </c>
      <c r="E12" s="21">
        <v>1908</v>
      </c>
      <c r="F12" s="21">
        <v>1648</v>
      </c>
      <c r="G12" s="21">
        <v>1713</v>
      </c>
      <c r="H12" s="20" t="s">
        <v>197</v>
      </c>
      <c r="I12" s="20" t="s">
        <v>198</v>
      </c>
      <c r="J12" s="20" t="s">
        <v>199</v>
      </c>
      <c r="N12">
        <v>0.4</v>
      </c>
      <c r="O12">
        <v>19</v>
      </c>
      <c r="P12">
        <v>0</v>
      </c>
      <c r="R12">
        <v>-34</v>
      </c>
      <c r="S12">
        <v>-19</v>
      </c>
      <c r="T12">
        <v>0</v>
      </c>
    </row>
    <row r="13" spans="1:22" x14ac:dyDescent="0.3">
      <c r="A13" s="22" t="s">
        <v>200</v>
      </c>
      <c r="B13" s="22"/>
      <c r="C13" s="22"/>
      <c r="D13" s="23" t="s">
        <v>196</v>
      </c>
      <c r="E13" s="21">
        <v>2208</v>
      </c>
      <c r="F13" s="21">
        <v>1948</v>
      </c>
      <c r="G13" s="21">
        <v>2013</v>
      </c>
      <c r="H13" s="20" t="s">
        <v>197</v>
      </c>
      <c r="I13" s="20" t="s">
        <v>198</v>
      </c>
      <c r="J13" s="20" t="s">
        <v>199</v>
      </c>
      <c r="N13">
        <v>0.45</v>
      </c>
      <c r="O13">
        <v>20</v>
      </c>
      <c r="P13">
        <v>0</v>
      </c>
      <c r="R13">
        <v>-35</v>
      </c>
      <c r="S13">
        <v>-20</v>
      </c>
    </row>
    <row r="14" spans="1:22" x14ac:dyDescent="0.3">
      <c r="A14" s="22">
        <v>3</v>
      </c>
      <c r="B14" s="22"/>
      <c r="C14" s="22"/>
      <c r="D14" s="23" t="s">
        <v>201</v>
      </c>
      <c r="E14" s="21">
        <v>2675</v>
      </c>
      <c r="F14" s="21">
        <v>2387</v>
      </c>
      <c r="G14" s="21">
        <v>2459</v>
      </c>
      <c r="H14" s="20" t="s">
        <v>202</v>
      </c>
      <c r="I14" s="20" t="s">
        <v>203</v>
      </c>
      <c r="J14" s="20" t="s">
        <v>204</v>
      </c>
      <c r="N14">
        <v>0.5</v>
      </c>
      <c r="O14">
        <v>20</v>
      </c>
      <c r="P14">
        <v>0</v>
      </c>
      <c r="Q14">
        <v>-50</v>
      </c>
      <c r="R14">
        <v>-36</v>
      </c>
      <c r="S14">
        <v>-20</v>
      </c>
    </row>
    <row r="15" spans="1:22" x14ac:dyDescent="0.3">
      <c r="A15" s="22"/>
      <c r="B15" s="22" t="s">
        <v>205</v>
      </c>
      <c r="C15" s="22"/>
      <c r="D15" s="23" t="s">
        <v>206</v>
      </c>
      <c r="E15" s="21">
        <v>3110</v>
      </c>
      <c r="F15" s="21">
        <v>2764</v>
      </c>
      <c r="G15" s="21">
        <v>2850</v>
      </c>
      <c r="H15" s="20" t="s">
        <v>207</v>
      </c>
      <c r="I15" s="20" t="s">
        <v>208</v>
      </c>
      <c r="J15" s="20" t="s">
        <v>209</v>
      </c>
      <c r="N15">
        <v>0.6</v>
      </c>
      <c r="O15">
        <v>21</v>
      </c>
      <c r="P15">
        <v>0</v>
      </c>
      <c r="Q15">
        <v>-53</v>
      </c>
      <c r="R15">
        <v>-36</v>
      </c>
      <c r="S15">
        <v>-21</v>
      </c>
      <c r="T15">
        <v>0</v>
      </c>
    </row>
    <row r="16" spans="1:22" x14ac:dyDescent="0.3">
      <c r="A16" s="22">
        <v>4</v>
      </c>
      <c r="B16" s="22"/>
      <c r="C16" s="22"/>
      <c r="D16" s="23" t="s">
        <v>210</v>
      </c>
      <c r="E16" s="21">
        <v>3545</v>
      </c>
      <c r="F16" s="21">
        <v>3141</v>
      </c>
      <c r="G16" s="21">
        <v>3242</v>
      </c>
      <c r="H16" s="20" t="s">
        <v>211</v>
      </c>
      <c r="I16" s="20" t="s">
        <v>212</v>
      </c>
      <c r="J16" s="20" t="s">
        <v>213</v>
      </c>
      <c r="N16">
        <v>0.7</v>
      </c>
      <c r="O16">
        <v>22</v>
      </c>
      <c r="P16">
        <v>0</v>
      </c>
      <c r="Q16">
        <v>-56</v>
      </c>
      <c r="R16">
        <v>-38</v>
      </c>
      <c r="T16">
        <v>0</v>
      </c>
    </row>
    <row r="17" spans="1:20" x14ac:dyDescent="0.3">
      <c r="A17" s="22"/>
      <c r="B17" s="22" t="s">
        <v>214</v>
      </c>
      <c r="C17" s="22"/>
      <c r="D17" s="23" t="s">
        <v>215</v>
      </c>
      <c r="E17" s="21">
        <v>4013</v>
      </c>
      <c r="F17" s="21">
        <v>3580</v>
      </c>
      <c r="G17" s="21">
        <v>3688</v>
      </c>
      <c r="H17" s="20" t="s">
        <v>216</v>
      </c>
      <c r="I17" s="20" t="s">
        <v>217</v>
      </c>
      <c r="J17" s="20" t="s">
        <v>218</v>
      </c>
      <c r="N17">
        <v>0.75</v>
      </c>
      <c r="O17">
        <v>22</v>
      </c>
      <c r="P17">
        <v>0</v>
      </c>
      <c r="Q17">
        <v>-56</v>
      </c>
      <c r="R17">
        <v>-38</v>
      </c>
      <c r="S17">
        <v>-22</v>
      </c>
    </row>
    <row r="18" spans="1:20" x14ac:dyDescent="0.3">
      <c r="A18" s="22">
        <v>5</v>
      </c>
      <c r="B18" s="22"/>
      <c r="C18" s="22"/>
      <c r="D18" s="23" t="s">
        <v>219</v>
      </c>
      <c r="E18" s="21">
        <v>4480</v>
      </c>
      <c r="F18" s="21">
        <v>4019</v>
      </c>
      <c r="G18" s="21">
        <v>4134</v>
      </c>
      <c r="H18" s="20" t="s">
        <v>220</v>
      </c>
      <c r="I18" s="20" t="s">
        <v>221</v>
      </c>
      <c r="J18" s="20" t="s">
        <v>222</v>
      </c>
      <c r="N18" t="s">
        <v>219</v>
      </c>
      <c r="O18">
        <v>24</v>
      </c>
      <c r="P18">
        <v>0</v>
      </c>
      <c r="Q18">
        <v>-60</v>
      </c>
      <c r="R18">
        <v>-38</v>
      </c>
      <c r="S18">
        <v>-24</v>
      </c>
      <c r="T18">
        <v>0</v>
      </c>
    </row>
    <row r="19" spans="1:20" x14ac:dyDescent="0.3">
      <c r="A19" s="22">
        <v>6</v>
      </c>
      <c r="B19" s="22"/>
      <c r="C19" s="22"/>
      <c r="D19" s="23">
        <v>1</v>
      </c>
      <c r="E19" s="21">
        <v>5350</v>
      </c>
      <c r="F19" s="21">
        <v>4773</v>
      </c>
      <c r="G19" s="21">
        <v>4917</v>
      </c>
      <c r="H19" s="20" t="s">
        <v>223</v>
      </c>
      <c r="I19" s="20" t="s">
        <v>224</v>
      </c>
      <c r="J19" s="20" t="s">
        <v>225</v>
      </c>
      <c r="N19">
        <v>1</v>
      </c>
      <c r="O19">
        <v>26</v>
      </c>
      <c r="P19">
        <v>0</v>
      </c>
      <c r="Q19">
        <v>-60</v>
      </c>
      <c r="S19">
        <v>-26</v>
      </c>
    </row>
    <row r="20" spans="1:20" x14ac:dyDescent="0.3">
      <c r="A20" s="22"/>
      <c r="B20" s="22">
        <v>7</v>
      </c>
      <c r="C20" s="22"/>
      <c r="D20" s="23">
        <v>1</v>
      </c>
      <c r="E20" s="21">
        <v>6350</v>
      </c>
      <c r="F20" s="21">
        <v>5773</v>
      </c>
      <c r="G20" s="21">
        <v>5917</v>
      </c>
      <c r="H20" s="20" t="s">
        <v>223</v>
      </c>
      <c r="I20" s="20" t="s">
        <v>224</v>
      </c>
      <c r="J20" s="20" t="s">
        <v>225</v>
      </c>
      <c r="N20" t="s">
        <v>226</v>
      </c>
      <c r="O20">
        <v>28</v>
      </c>
      <c r="P20">
        <v>0</v>
      </c>
      <c r="Q20">
        <v>-63</v>
      </c>
      <c r="R20">
        <v>-42</v>
      </c>
      <c r="S20">
        <v>-28</v>
      </c>
      <c r="T20">
        <v>0</v>
      </c>
    </row>
    <row r="21" spans="1:20" x14ac:dyDescent="0.3">
      <c r="A21" s="22">
        <v>8</v>
      </c>
      <c r="B21" s="22"/>
      <c r="C21" s="22"/>
      <c r="D21" s="23" t="s">
        <v>226</v>
      </c>
      <c r="E21" s="21">
        <v>7188</v>
      </c>
      <c r="F21" s="21">
        <v>6466</v>
      </c>
      <c r="G21" s="21">
        <v>6647</v>
      </c>
      <c r="H21" s="20" t="s">
        <v>227</v>
      </c>
      <c r="I21" s="20" t="s">
        <v>228</v>
      </c>
      <c r="J21" s="20" t="s">
        <v>229</v>
      </c>
      <c r="N21" t="s">
        <v>246</v>
      </c>
      <c r="O21">
        <v>32</v>
      </c>
      <c r="P21">
        <v>0</v>
      </c>
      <c r="Q21">
        <v>-67</v>
      </c>
      <c r="R21">
        <v>-45</v>
      </c>
      <c r="S21">
        <v>-32</v>
      </c>
    </row>
    <row r="22" spans="1:20" x14ac:dyDescent="0.3">
      <c r="A22" s="22"/>
      <c r="B22" s="22"/>
      <c r="C22" s="22">
        <v>9</v>
      </c>
      <c r="D22" s="23" t="s">
        <v>226</v>
      </c>
      <c r="E22" s="21">
        <v>8188</v>
      </c>
      <c r="F22" s="21">
        <v>7466</v>
      </c>
      <c r="G22" s="21">
        <v>7647</v>
      </c>
      <c r="H22" s="20" t="s">
        <v>227</v>
      </c>
      <c r="I22" s="20" t="s">
        <v>228</v>
      </c>
      <c r="J22" s="20" t="s">
        <v>229</v>
      </c>
      <c r="N22">
        <v>1.75</v>
      </c>
      <c r="O22">
        <v>34</v>
      </c>
      <c r="P22">
        <v>0</v>
      </c>
      <c r="Q22">
        <v>-71</v>
      </c>
      <c r="R22">
        <v>-48</v>
      </c>
      <c r="S22">
        <v>-34</v>
      </c>
    </row>
    <row r="23" spans="1:20" x14ac:dyDescent="0.3">
      <c r="A23" s="22">
        <v>10</v>
      </c>
      <c r="B23" s="22"/>
      <c r="C23" s="22"/>
      <c r="D23" s="23" t="s">
        <v>246</v>
      </c>
      <c r="E23" s="21">
        <v>9026</v>
      </c>
      <c r="F23" s="21">
        <v>8160</v>
      </c>
      <c r="G23" s="21">
        <v>6376</v>
      </c>
      <c r="H23" s="20" t="s">
        <v>230</v>
      </c>
      <c r="I23" s="20" t="s">
        <v>231</v>
      </c>
      <c r="J23" s="20" t="s">
        <v>193</v>
      </c>
      <c r="N23">
        <v>2</v>
      </c>
      <c r="O23">
        <v>38</v>
      </c>
      <c r="P23">
        <v>0</v>
      </c>
      <c r="Q23">
        <v>-71</v>
      </c>
      <c r="R23">
        <v>-52</v>
      </c>
      <c r="S23">
        <v>-38</v>
      </c>
    </row>
    <row r="24" spans="1:20" x14ac:dyDescent="0.3">
      <c r="A24" s="22"/>
      <c r="B24" s="22"/>
      <c r="C24" s="22">
        <v>11</v>
      </c>
      <c r="D24" s="23" t="s">
        <v>246</v>
      </c>
      <c r="E24" s="21">
        <v>10026</v>
      </c>
      <c r="F24" s="21">
        <v>9160</v>
      </c>
      <c r="G24" s="21">
        <v>9376</v>
      </c>
      <c r="H24" s="20" t="s">
        <v>230</v>
      </c>
      <c r="I24" s="20" t="s">
        <v>231</v>
      </c>
      <c r="J24" s="20" t="s">
        <v>193</v>
      </c>
      <c r="N24">
        <v>2.5</v>
      </c>
      <c r="O24">
        <v>42</v>
      </c>
      <c r="P24">
        <v>0</v>
      </c>
      <c r="Q24">
        <v>-80</v>
      </c>
      <c r="R24">
        <v>-58</v>
      </c>
      <c r="S24">
        <v>-42</v>
      </c>
    </row>
    <row r="25" spans="1:20" x14ac:dyDescent="0.3">
      <c r="A25" s="22">
        <v>12</v>
      </c>
      <c r="B25" s="22"/>
      <c r="C25" s="22"/>
      <c r="D25" s="23" t="s">
        <v>232</v>
      </c>
      <c r="E25" s="21">
        <v>10863</v>
      </c>
      <c r="F25" s="21">
        <v>9853</v>
      </c>
      <c r="G25" s="21">
        <v>10106</v>
      </c>
      <c r="H25" s="21">
        <v>1074</v>
      </c>
      <c r="I25" s="20" t="s">
        <v>233</v>
      </c>
      <c r="J25" s="20" t="s">
        <v>234</v>
      </c>
      <c r="N25">
        <v>3</v>
      </c>
      <c r="O25">
        <v>48</v>
      </c>
      <c r="P25">
        <v>0</v>
      </c>
      <c r="Q25">
        <v>-85</v>
      </c>
      <c r="R25">
        <v>-63</v>
      </c>
      <c r="S25">
        <v>-48</v>
      </c>
    </row>
    <row r="26" spans="1:20" x14ac:dyDescent="0.3">
      <c r="A26" s="22"/>
      <c r="B26" s="22">
        <v>14</v>
      </c>
      <c r="C26" s="22"/>
      <c r="D26" s="23">
        <v>2</v>
      </c>
      <c r="E26" s="21">
        <v>12701</v>
      </c>
      <c r="F26" s="21">
        <v>11546</v>
      </c>
      <c r="G26" s="21">
        <v>11835</v>
      </c>
      <c r="H26" s="21">
        <v>1227</v>
      </c>
      <c r="I26" s="20" t="s">
        <v>235</v>
      </c>
      <c r="J26" s="20" t="s">
        <v>236</v>
      </c>
      <c r="N26">
        <v>3.5</v>
      </c>
      <c r="O26">
        <v>53</v>
      </c>
      <c r="P26">
        <v>0</v>
      </c>
      <c r="Q26">
        <v>-90</v>
      </c>
      <c r="R26">
        <v>-70</v>
      </c>
      <c r="S26">
        <v>-53</v>
      </c>
    </row>
    <row r="27" spans="1:20" x14ac:dyDescent="0.3">
      <c r="A27" s="22">
        <v>16</v>
      </c>
      <c r="B27" s="22"/>
      <c r="C27" s="22"/>
      <c r="D27" s="23">
        <v>2</v>
      </c>
      <c r="E27" s="21">
        <v>14701</v>
      </c>
      <c r="F27" s="21">
        <v>13546</v>
      </c>
      <c r="G27" s="21">
        <v>13835</v>
      </c>
      <c r="H27" s="21">
        <v>1227</v>
      </c>
      <c r="I27" s="21">
        <v>1083</v>
      </c>
      <c r="J27" s="20" t="s">
        <v>236</v>
      </c>
      <c r="N27">
        <v>4</v>
      </c>
      <c r="O27">
        <v>60</v>
      </c>
      <c r="P27">
        <v>0</v>
      </c>
      <c r="Q27">
        <v>-95</v>
      </c>
      <c r="R27">
        <v>-75</v>
      </c>
      <c r="S27">
        <v>-60</v>
      </c>
    </row>
    <row r="28" spans="1:20" x14ac:dyDescent="0.3">
      <c r="A28" s="22"/>
      <c r="B28" s="22">
        <v>18</v>
      </c>
      <c r="C28" s="22"/>
      <c r="D28" s="23" t="s">
        <v>200</v>
      </c>
      <c r="E28" s="21">
        <v>16376</v>
      </c>
      <c r="F28" s="21">
        <v>14933</v>
      </c>
      <c r="G28" s="21">
        <v>15294</v>
      </c>
      <c r="H28" s="21">
        <v>1534</v>
      </c>
      <c r="I28" s="21">
        <v>1353</v>
      </c>
      <c r="J28" s="20" t="s">
        <v>237</v>
      </c>
      <c r="N28" t="s">
        <v>214</v>
      </c>
      <c r="O28">
        <v>63</v>
      </c>
      <c r="P28">
        <v>0</v>
      </c>
      <c r="Q28">
        <v>-100</v>
      </c>
      <c r="R28">
        <v>-80</v>
      </c>
      <c r="S28">
        <v>-63</v>
      </c>
    </row>
    <row r="29" spans="1:20" x14ac:dyDescent="0.3">
      <c r="A29" s="22">
        <v>20</v>
      </c>
      <c r="B29" s="22"/>
      <c r="C29" s="22"/>
      <c r="D29" s="23" t="s">
        <v>200</v>
      </c>
      <c r="E29" s="21">
        <v>18376</v>
      </c>
      <c r="F29" s="21">
        <v>16933</v>
      </c>
      <c r="G29" s="21">
        <v>17294</v>
      </c>
      <c r="H29" s="21">
        <v>1534</v>
      </c>
      <c r="I29" s="21">
        <v>1353</v>
      </c>
      <c r="J29" s="20" t="s">
        <v>237</v>
      </c>
      <c r="N29">
        <v>5</v>
      </c>
      <c r="O29">
        <v>71</v>
      </c>
      <c r="P29">
        <v>0</v>
      </c>
      <c r="Q29">
        <v>-106</v>
      </c>
      <c r="R29">
        <v>-85</v>
      </c>
      <c r="S29">
        <v>-71</v>
      </c>
    </row>
    <row r="30" spans="1:20" x14ac:dyDescent="0.3">
      <c r="A30" s="22"/>
      <c r="B30" s="22">
        <v>22</v>
      </c>
      <c r="C30" s="22"/>
      <c r="D30" s="23" t="s">
        <v>200</v>
      </c>
      <c r="E30" s="21">
        <v>20376</v>
      </c>
      <c r="F30" s="21">
        <v>18933</v>
      </c>
      <c r="G30" s="21">
        <v>19294</v>
      </c>
      <c r="H30" s="21">
        <v>1534</v>
      </c>
      <c r="I30" s="21">
        <v>1353</v>
      </c>
      <c r="J30" s="20" t="s">
        <v>237</v>
      </c>
      <c r="N30" t="s">
        <v>247</v>
      </c>
      <c r="O30">
        <v>75</v>
      </c>
      <c r="P30">
        <v>0</v>
      </c>
      <c r="Q30">
        <v>-112</v>
      </c>
      <c r="R30">
        <v>-90</v>
      </c>
      <c r="S30">
        <v>-75</v>
      </c>
    </row>
    <row r="31" spans="1:20" x14ac:dyDescent="0.3">
      <c r="A31" s="22">
        <v>24</v>
      </c>
      <c r="B31" s="22"/>
      <c r="C31" s="22"/>
      <c r="D31" s="23">
        <v>3</v>
      </c>
      <c r="E31" s="21">
        <v>22051</v>
      </c>
      <c r="F31" s="21">
        <v>20319</v>
      </c>
      <c r="G31" s="21">
        <v>20752</v>
      </c>
      <c r="H31" s="20">
        <v>1.84</v>
      </c>
      <c r="I31" s="21">
        <v>1624</v>
      </c>
      <c r="J31" s="20" t="s">
        <v>221</v>
      </c>
      <c r="N31">
        <v>6</v>
      </c>
      <c r="O31">
        <v>80</v>
      </c>
      <c r="P31">
        <v>0</v>
      </c>
      <c r="Q31">
        <v>-118</v>
      </c>
      <c r="R31">
        <v>-95</v>
      </c>
      <c r="S31">
        <v>-80</v>
      </c>
      <c r="T31">
        <v>0</v>
      </c>
    </row>
    <row r="32" spans="1:20" x14ac:dyDescent="0.3">
      <c r="A32" s="22"/>
      <c r="B32" s="22">
        <v>27</v>
      </c>
      <c r="C32" s="22"/>
      <c r="D32" s="23">
        <v>3</v>
      </c>
      <c r="E32" s="21">
        <v>25051</v>
      </c>
      <c r="F32" s="21">
        <v>23319</v>
      </c>
      <c r="G32" s="21">
        <v>23752</v>
      </c>
      <c r="H32" s="21">
        <v>1840</v>
      </c>
      <c r="I32" s="21">
        <v>1624</v>
      </c>
      <c r="J32" s="20" t="s">
        <v>221</v>
      </c>
      <c r="N32">
        <v>8</v>
      </c>
      <c r="O32">
        <v>100</v>
      </c>
      <c r="P32">
        <v>0</v>
      </c>
      <c r="Q32">
        <v>-140</v>
      </c>
      <c r="R32">
        <v>-118</v>
      </c>
      <c r="S32">
        <v>-100</v>
      </c>
    </row>
    <row r="33" spans="1:10" x14ac:dyDescent="0.3">
      <c r="A33" s="22">
        <v>30</v>
      </c>
      <c r="B33" s="22"/>
      <c r="C33" s="22"/>
      <c r="D33" s="23" t="s">
        <v>205</v>
      </c>
      <c r="E33" s="21">
        <v>27727</v>
      </c>
      <c r="F33" s="21">
        <v>25706</v>
      </c>
      <c r="G33" s="20" t="s">
        <v>238</v>
      </c>
      <c r="H33" s="21">
        <v>2147</v>
      </c>
      <c r="I33" s="21">
        <v>1894</v>
      </c>
      <c r="J33" s="20" t="s">
        <v>239</v>
      </c>
    </row>
    <row r="34" spans="1:10" x14ac:dyDescent="0.3">
      <c r="A34" s="22"/>
      <c r="B34" s="22">
        <v>33</v>
      </c>
      <c r="C34" s="22"/>
      <c r="D34" s="23" t="s">
        <v>205</v>
      </c>
      <c r="E34" s="21">
        <v>30727</v>
      </c>
      <c r="F34" s="21">
        <v>28706</v>
      </c>
      <c r="G34" s="20" t="s">
        <v>240</v>
      </c>
      <c r="H34" s="21">
        <v>2147</v>
      </c>
      <c r="I34" s="21">
        <v>1894</v>
      </c>
      <c r="J34" s="20" t="s">
        <v>239</v>
      </c>
    </row>
    <row r="35" spans="1:10" x14ac:dyDescent="0.3">
      <c r="A35" s="22">
        <v>36</v>
      </c>
      <c r="B35" s="22"/>
      <c r="C35" s="22"/>
      <c r="D35" s="23">
        <v>4</v>
      </c>
      <c r="E35" s="21">
        <v>33402</v>
      </c>
      <c r="F35" s="21">
        <v>31093</v>
      </c>
      <c r="G35" s="21">
        <v>31670</v>
      </c>
      <c r="H35" s="21">
        <v>2454</v>
      </c>
      <c r="I35" s="21">
        <v>2165</v>
      </c>
      <c r="J35" s="20" t="s">
        <v>241</v>
      </c>
    </row>
    <row r="36" spans="1:10" x14ac:dyDescent="0.3">
      <c r="A36" s="22"/>
      <c r="B36" s="22">
        <v>39</v>
      </c>
      <c r="C36" s="22"/>
      <c r="D36" s="23">
        <v>4</v>
      </c>
      <c r="E36" s="21">
        <v>36402</v>
      </c>
      <c r="F36" s="21">
        <v>34093</v>
      </c>
      <c r="G36" s="21">
        <v>34670</v>
      </c>
      <c r="H36" s="21">
        <v>2454</v>
      </c>
      <c r="I36" s="21">
        <v>2165</v>
      </c>
      <c r="J36" s="20" t="s">
        <v>241</v>
      </c>
    </row>
    <row r="37" spans="1:10" x14ac:dyDescent="0.3">
      <c r="A37" s="22">
        <v>42</v>
      </c>
      <c r="B37" s="22"/>
      <c r="C37" s="22"/>
      <c r="D37" s="23" t="s">
        <v>214</v>
      </c>
      <c r="E37" s="21">
        <v>39077</v>
      </c>
      <c r="F37" s="21">
        <v>36479</v>
      </c>
      <c r="G37" s="21">
        <v>37129</v>
      </c>
      <c r="H37" s="21">
        <v>2760</v>
      </c>
      <c r="I37" s="21">
        <v>2436</v>
      </c>
      <c r="J37" s="20" t="s">
        <v>242</v>
      </c>
    </row>
    <row r="38" spans="1:10" x14ac:dyDescent="0.3">
      <c r="A38" s="22"/>
      <c r="B38" s="22">
        <v>45</v>
      </c>
      <c r="C38" s="22"/>
      <c r="D38" s="23" t="s">
        <v>214</v>
      </c>
      <c r="E38" s="21">
        <v>42077</v>
      </c>
      <c r="F38" s="21">
        <v>39479</v>
      </c>
      <c r="G38" s="21">
        <v>40129</v>
      </c>
      <c r="H38" s="21">
        <v>2760</v>
      </c>
      <c r="I38" s="21">
        <v>2436</v>
      </c>
      <c r="J38" s="20" t="s">
        <v>242</v>
      </c>
    </row>
    <row r="39" spans="1:10" x14ac:dyDescent="0.3">
      <c r="A39" s="22">
        <v>48</v>
      </c>
      <c r="B39" s="22"/>
      <c r="C39" s="22"/>
      <c r="D39" s="23">
        <v>5</v>
      </c>
      <c r="E39" s="21">
        <v>44752</v>
      </c>
      <c r="F39" s="21">
        <v>41866</v>
      </c>
      <c r="G39" s="21">
        <v>42587</v>
      </c>
      <c r="H39" s="21">
        <v>3067</v>
      </c>
      <c r="I39" s="21">
        <v>2706</v>
      </c>
      <c r="J39" s="20" t="s">
        <v>243</v>
      </c>
    </row>
    <row r="40" spans="1:10" x14ac:dyDescent="0.3">
      <c r="A40" s="22"/>
      <c r="B40" s="22">
        <v>52</v>
      </c>
      <c r="C40" s="22"/>
      <c r="D40" s="23">
        <v>5</v>
      </c>
      <c r="E40" s="21">
        <v>48752</v>
      </c>
      <c r="F40" s="21">
        <v>45866</v>
      </c>
      <c r="G40" s="21">
        <v>46587</v>
      </c>
      <c r="H40" s="21">
        <v>3067</v>
      </c>
      <c r="I40" s="21">
        <v>2706</v>
      </c>
      <c r="J40" s="20" t="s">
        <v>243</v>
      </c>
    </row>
    <row r="41" spans="1:10" x14ac:dyDescent="0.3">
      <c r="A41" s="22">
        <v>56</v>
      </c>
      <c r="B41" s="22"/>
      <c r="C41" s="22"/>
      <c r="D41" s="23" t="s">
        <v>247</v>
      </c>
      <c r="E41" s="21">
        <v>52428</v>
      </c>
      <c r="F41" s="21">
        <v>49252</v>
      </c>
      <c r="G41" s="21">
        <v>50046</v>
      </c>
      <c r="H41" s="21">
        <v>3374</v>
      </c>
      <c r="I41" s="21">
        <v>2977</v>
      </c>
      <c r="J41" s="20" t="s">
        <v>244</v>
      </c>
    </row>
    <row r="42" spans="1:10" x14ac:dyDescent="0.3">
      <c r="A42" s="22"/>
      <c r="B42" s="22">
        <v>60</v>
      </c>
      <c r="C42" s="22"/>
      <c r="D42" s="23" t="s">
        <v>247</v>
      </c>
      <c r="E42" s="21">
        <v>56428</v>
      </c>
      <c r="F42" s="21">
        <v>53252</v>
      </c>
      <c r="G42" s="21">
        <v>54046</v>
      </c>
      <c r="H42" s="21">
        <v>3374</v>
      </c>
      <c r="I42" s="21">
        <v>2977</v>
      </c>
      <c r="J42" s="20" t="s">
        <v>244</v>
      </c>
    </row>
    <row r="43" spans="1:10" x14ac:dyDescent="0.3">
      <c r="A43" s="22">
        <v>64</v>
      </c>
      <c r="B43" s="22"/>
      <c r="C43" s="22"/>
      <c r="D43" s="23">
        <v>6</v>
      </c>
      <c r="E43" s="21">
        <v>60103</v>
      </c>
      <c r="F43" s="21">
        <v>56639</v>
      </c>
      <c r="G43" s="21">
        <v>57505</v>
      </c>
      <c r="H43" s="21">
        <v>3681</v>
      </c>
      <c r="I43" s="21">
        <v>3248</v>
      </c>
      <c r="J43" s="20" t="s">
        <v>245</v>
      </c>
    </row>
    <row r="44" spans="1:10" x14ac:dyDescent="0.3">
      <c r="A44" s="30"/>
      <c r="B44" s="30">
        <v>68</v>
      </c>
      <c r="C44" s="30"/>
      <c r="D44" s="23">
        <v>6</v>
      </c>
      <c r="E44" s="21">
        <v>64103</v>
      </c>
      <c r="F44" s="21">
        <v>60639</v>
      </c>
      <c r="G44" s="21">
        <v>61505</v>
      </c>
      <c r="H44" s="21">
        <v>3681</v>
      </c>
      <c r="I44" s="21">
        <v>3248</v>
      </c>
      <c r="J44" s="20" t="s">
        <v>245</v>
      </c>
    </row>
  </sheetData>
  <mergeCells count="5">
    <mergeCell ref="A3:C3"/>
    <mergeCell ref="D3:D4"/>
    <mergeCell ref="G3:G4"/>
    <mergeCell ref="O5:P5"/>
    <mergeCell ref="Q5:S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D14-64DE-4B32-B371-1980BEC93982}">
  <dimension ref="A1:BM122"/>
  <sheetViews>
    <sheetView topLeftCell="B7" zoomScale="70" zoomScaleNormal="70" workbookViewId="0">
      <pane xSplit="1" ySplit="1" topLeftCell="N8" activePane="bottomRight" state="frozen"/>
      <selection pane="topRight" activeCell="C34" sqref="C34"/>
      <selection pane="bottomLeft" activeCell="C34" sqref="C34"/>
      <selection pane="bottomRight" activeCell="W76" sqref="W76"/>
    </sheetView>
  </sheetViews>
  <sheetFormatPr baseColWidth="10" defaultColWidth="11.44140625" defaultRowHeight="14.4" x14ac:dyDescent="0.3"/>
  <cols>
    <col min="5" max="5" width="11.88671875" bestFit="1" customWidth="1"/>
    <col min="6" max="6" width="11.88671875" customWidth="1"/>
    <col min="12" max="12" width="15.44140625" customWidth="1"/>
    <col min="17" max="17" width="14.109375" customWidth="1"/>
    <col min="18" max="18" width="19.5546875" customWidth="1"/>
    <col min="21" max="21" width="5.6640625" customWidth="1"/>
    <col min="22" max="22" width="55.88671875" customWidth="1"/>
    <col min="47" max="47" width="12" bestFit="1" customWidth="1"/>
  </cols>
  <sheetData>
    <row r="1" spans="1:65" x14ac:dyDescent="0.3">
      <c r="A1" s="128" t="s">
        <v>0</v>
      </c>
      <c r="B1" s="128"/>
      <c r="C1" s="128"/>
      <c r="D1" s="128"/>
      <c r="E1" s="128"/>
      <c r="F1" s="128"/>
      <c r="G1" s="128"/>
    </row>
    <row r="2" spans="1:65" x14ac:dyDescent="0.3">
      <c r="A2" s="128"/>
      <c r="B2" s="128"/>
      <c r="C2" s="128"/>
      <c r="D2" s="128"/>
      <c r="E2" s="128"/>
      <c r="F2" s="128"/>
      <c r="G2" s="128"/>
      <c r="S2" s="1"/>
      <c r="T2" t="s">
        <v>1</v>
      </c>
    </row>
    <row r="3" spans="1:65" x14ac:dyDescent="0.3">
      <c r="A3" s="128"/>
      <c r="B3" s="128"/>
      <c r="C3" s="128"/>
      <c r="D3" s="128"/>
      <c r="E3" s="128"/>
      <c r="F3" s="128"/>
      <c r="G3" s="128"/>
    </row>
    <row r="5" spans="1:65" x14ac:dyDescent="0.3">
      <c r="B5">
        <v>1</v>
      </c>
      <c r="C5">
        <v>2</v>
      </c>
      <c r="D5">
        <v>3</v>
      </c>
      <c r="E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  <c r="AC5">
        <v>26</v>
      </c>
      <c r="AD5">
        <v>27</v>
      </c>
      <c r="AE5">
        <v>28</v>
      </c>
      <c r="AF5">
        <v>29</v>
      </c>
      <c r="AG5">
        <v>30</v>
      </c>
      <c r="AH5">
        <v>31</v>
      </c>
      <c r="AI5">
        <v>32</v>
      </c>
      <c r="AJ5">
        <v>33</v>
      </c>
      <c r="AK5">
        <v>34</v>
      </c>
      <c r="AL5">
        <v>35</v>
      </c>
      <c r="AM5">
        <v>36</v>
      </c>
      <c r="AN5">
        <v>37</v>
      </c>
      <c r="AO5">
        <v>38</v>
      </c>
      <c r="AP5">
        <v>39</v>
      </c>
      <c r="AQ5">
        <v>40</v>
      </c>
      <c r="AR5">
        <v>41</v>
      </c>
      <c r="AS5">
        <v>42</v>
      </c>
      <c r="AT5">
        <v>43</v>
      </c>
      <c r="AU5">
        <v>44</v>
      </c>
      <c r="AV5">
        <v>45</v>
      </c>
      <c r="AW5">
        <v>46</v>
      </c>
      <c r="AX5">
        <v>47</v>
      </c>
      <c r="AY5">
        <v>48</v>
      </c>
      <c r="AZ5">
        <v>49</v>
      </c>
      <c r="BA5">
        <v>50</v>
      </c>
      <c r="BB5">
        <v>51</v>
      </c>
      <c r="BC5">
        <v>52</v>
      </c>
      <c r="BD5">
        <v>53</v>
      </c>
      <c r="BE5">
        <v>54</v>
      </c>
      <c r="BF5">
        <v>55</v>
      </c>
      <c r="BG5">
        <v>56</v>
      </c>
      <c r="BH5">
        <v>57</v>
      </c>
      <c r="BI5">
        <v>58</v>
      </c>
      <c r="BJ5">
        <v>59</v>
      </c>
      <c r="BK5">
        <v>60</v>
      </c>
      <c r="BL5">
        <v>61</v>
      </c>
      <c r="BM5">
        <v>62</v>
      </c>
    </row>
    <row r="7" spans="1:65" ht="38.25" customHeight="1" x14ac:dyDescent="0.3">
      <c r="B7" s="2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13</v>
      </c>
      <c r="N7" s="3" t="s">
        <v>14</v>
      </c>
      <c r="O7" s="3" t="s">
        <v>15</v>
      </c>
      <c r="P7" s="3" t="s">
        <v>16</v>
      </c>
      <c r="Q7" s="3" t="s">
        <v>17</v>
      </c>
      <c r="R7" s="3" t="s">
        <v>18</v>
      </c>
      <c r="S7" s="3" t="s">
        <v>19</v>
      </c>
      <c r="T7" s="3" t="s">
        <v>20</v>
      </c>
      <c r="V7" s="4" t="s">
        <v>21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</row>
    <row r="8" spans="1:65" x14ac:dyDescent="0.3">
      <c r="B8" s="129" t="s">
        <v>22</v>
      </c>
      <c r="C8" s="5">
        <v>1E-3</v>
      </c>
      <c r="D8" s="5">
        <v>2.5000000000000001E-4</v>
      </c>
      <c r="E8" s="5">
        <f>((SQRT(3)/2)*D8)</f>
        <v>2.1650635094610965E-4</v>
      </c>
      <c r="F8" s="5">
        <f>E8/6</f>
        <v>3.6084391824351606E-5</v>
      </c>
      <c r="G8" s="5">
        <f>C8-0.64952*D8</f>
        <v>8.3762000000000007E-4</v>
      </c>
      <c r="H8" s="5">
        <f>C8-1.22687*D8</f>
        <v>6.932825000000001E-4</v>
      </c>
      <c r="I8" s="5">
        <f>C8-1.082532*D8</f>
        <v>7.2936700000000008E-4</v>
      </c>
      <c r="J8" s="5">
        <f>0.61343*D8</f>
        <v>1.5335750000000002E-4</v>
      </c>
      <c r="K8" s="5">
        <f>0.54127*D8</f>
        <v>1.3531750000000001E-4</v>
      </c>
      <c r="L8" s="5">
        <v>7.5000000000000002E-4</v>
      </c>
      <c r="M8" s="5">
        <f>0.5*(G8+H8)</f>
        <v>7.6545125000000009E-4</v>
      </c>
      <c r="N8" s="5">
        <f>H8</f>
        <v>6.932825000000001E-4</v>
      </c>
      <c r="O8" s="5">
        <f>0.25*PI()*M8^2</f>
        <v>4.601770488116866E-7</v>
      </c>
      <c r="P8" s="5">
        <f>0.25*PI()*N8^2</f>
        <v>3.7749426397703083E-7</v>
      </c>
      <c r="Q8" s="131" t="s">
        <v>23</v>
      </c>
      <c r="R8" s="133">
        <f>IF(Q8="fine (H12)",0.0011,IF(Q8="medium (H13)",0.0012,IF(Q8="coarse (H14)",0.0013)))</f>
        <v>1.1999999999999999E-3</v>
      </c>
      <c r="S8" s="131"/>
      <c r="T8" s="135" t="str">
        <f>IF(S8="","",0.5*(R8+S8))</f>
        <v/>
      </c>
      <c r="U8" s="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5"/>
    </row>
    <row r="9" spans="1:65" x14ac:dyDescent="0.3">
      <c r="B9" s="130"/>
      <c r="C9" s="5">
        <v>1E-3</v>
      </c>
      <c r="D9" s="5">
        <v>2.0000000000000001E-4</v>
      </c>
      <c r="E9" s="5">
        <f t="shared" ref="E9:E72" si="0">((SQRT(3)/2)*D9)</f>
        <v>1.7320508075688773E-4</v>
      </c>
      <c r="F9" s="5">
        <f t="shared" ref="F9:F72" si="1">E9/6</f>
        <v>2.8867513459481289E-5</v>
      </c>
      <c r="G9" s="5">
        <f t="shared" ref="G9:G122" si="2">C9-0.64952*D9</f>
        <v>8.70096E-4</v>
      </c>
      <c r="H9" s="5">
        <f t="shared" ref="H9:H122" si="3">C9-1.22687*D9</f>
        <v>7.5462599999999999E-4</v>
      </c>
      <c r="I9" s="5">
        <f t="shared" ref="I9:I122" si="4">C9-1.082532*D9</f>
        <v>7.834936E-4</v>
      </c>
      <c r="J9" s="5">
        <f t="shared" ref="J9:J72" si="5">0.61343*D9</f>
        <v>1.2268600000000002E-4</v>
      </c>
      <c r="K9" s="5">
        <f t="shared" ref="K9:K72" si="6">0.54127*D9</f>
        <v>1.0825400000000001E-4</v>
      </c>
      <c r="L9" s="5">
        <v>8.0000000000000004E-4</v>
      </c>
      <c r="M9" s="5">
        <f t="shared" ref="M9:M72" si="7">0.5*(G9+H9)</f>
        <v>8.1236099999999994E-4</v>
      </c>
      <c r="N9" s="5">
        <f t="shared" ref="N9:N72" si="8">H9</f>
        <v>7.5462599999999999E-4</v>
      </c>
      <c r="O9" s="5">
        <f t="shared" ref="O9:P72" si="9">0.25*PI()*M9^2</f>
        <v>5.1830811966986721E-7</v>
      </c>
      <c r="P9" s="5">
        <f t="shared" si="9"/>
        <v>4.4725315219018689E-7</v>
      </c>
      <c r="Q9" s="132"/>
      <c r="R9" s="134"/>
      <c r="S9" s="132"/>
      <c r="T9" s="136"/>
      <c r="U9" s="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5"/>
    </row>
    <row r="10" spans="1:65" x14ac:dyDescent="0.3">
      <c r="B10" s="130" t="s">
        <v>24</v>
      </c>
      <c r="C10" s="5">
        <v>1.6000000000000001E-3</v>
      </c>
      <c r="D10" s="5">
        <v>3.5E-4</v>
      </c>
      <c r="E10" s="5">
        <f t="shared" si="0"/>
        <v>3.0310889132455351E-4</v>
      </c>
      <c r="F10" s="5">
        <f t="shared" si="1"/>
        <v>5.0518148554092252E-5</v>
      </c>
      <c r="G10" s="5">
        <f t="shared" si="2"/>
        <v>1.3726680000000001E-3</v>
      </c>
      <c r="H10" s="5">
        <f t="shared" si="3"/>
        <v>1.1705955000000001E-3</v>
      </c>
      <c r="I10" s="5">
        <f t="shared" si="4"/>
        <v>1.2211138000000001E-3</v>
      </c>
      <c r="J10" s="5">
        <f t="shared" si="5"/>
        <v>2.147005E-4</v>
      </c>
      <c r="K10" s="5">
        <f t="shared" si="6"/>
        <v>1.8944450000000002E-4</v>
      </c>
      <c r="L10" s="5">
        <v>1.25E-3</v>
      </c>
      <c r="M10" s="5">
        <f t="shared" si="7"/>
        <v>1.2716317500000001E-3</v>
      </c>
      <c r="N10" s="5">
        <f t="shared" si="8"/>
        <v>1.1705955000000001E-3</v>
      </c>
      <c r="O10" s="5">
        <f t="shared" si="9"/>
        <v>1.2700259855221611E-6</v>
      </c>
      <c r="P10" s="5">
        <f t="shared" si="9"/>
        <v>1.0762262531716097E-6</v>
      </c>
      <c r="Q10" s="132" t="s">
        <v>25</v>
      </c>
      <c r="R10" s="134">
        <f>IF(Q10="fine (H12)",0.0017,IF(Q10="medium (H13)",0.0018,IF(Q10="coarse (H14)",0.002)))</f>
        <v>1.6999999999999999E-3</v>
      </c>
      <c r="S10" s="132">
        <v>3.0000000000000001E-3</v>
      </c>
      <c r="T10" s="136">
        <f>IF(S10="","",0.5*(R10+S10))</f>
        <v>2.3500000000000001E-3</v>
      </c>
      <c r="U10" s="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</row>
    <row r="11" spans="1:65" x14ac:dyDescent="0.3">
      <c r="B11" s="130"/>
      <c r="C11" s="5">
        <v>1.6000000000000001E-3</v>
      </c>
      <c r="D11" s="5">
        <v>2.0000000000000001E-4</v>
      </c>
      <c r="E11" s="5">
        <f t="shared" si="0"/>
        <v>1.7320508075688773E-4</v>
      </c>
      <c r="F11" s="5">
        <f t="shared" si="1"/>
        <v>2.8867513459481289E-5</v>
      </c>
      <c r="G11" s="5">
        <f t="shared" si="2"/>
        <v>1.4700960000000002E-3</v>
      </c>
      <c r="H11" s="5">
        <f t="shared" si="3"/>
        <v>1.3546260000000001E-3</v>
      </c>
      <c r="I11" s="5">
        <f t="shared" si="4"/>
        <v>1.3834936000000002E-3</v>
      </c>
      <c r="J11" s="5">
        <f t="shared" si="5"/>
        <v>1.2268600000000002E-4</v>
      </c>
      <c r="K11" s="5">
        <f t="shared" si="6"/>
        <v>1.0825400000000001E-4</v>
      </c>
      <c r="L11" s="5">
        <v>1.4E-3</v>
      </c>
      <c r="M11" s="5">
        <f t="shared" si="7"/>
        <v>1.412361E-3</v>
      </c>
      <c r="N11" s="5">
        <f t="shared" si="8"/>
        <v>1.3546260000000001E-3</v>
      </c>
      <c r="O11" s="5">
        <f t="shared" si="9"/>
        <v>1.566683663391806E-6</v>
      </c>
      <c r="P11" s="5">
        <f t="shared" si="9"/>
        <v>1.4412147403556236E-6</v>
      </c>
      <c r="Q11" s="132"/>
      <c r="R11" s="134"/>
      <c r="S11" s="132"/>
      <c r="T11" s="136"/>
      <c r="U11" s="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</row>
    <row r="12" spans="1:65" x14ac:dyDescent="0.3">
      <c r="B12" s="130" t="s">
        <v>26</v>
      </c>
      <c r="C12" s="5">
        <v>2E-3</v>
      </c>
      <c r="D12" s="5">
        <v>4.0000000000000002E-4</v>
      </c>
      <c r="E12" s="5">
        <f t="shared" si="0"/>
        <v>3.4641016151377546E-4</v>
      </c>
      <c r="F12" s="5">
        <f t="shared" si="1"/>
        <v>5.7735026918962578E-5</v>
      </c>
      <c r="G12" s="5">
        <f t="shared" si="2"/>
        <v>1.740192E-3</v>
      </c>
      <c r="H12" s="5">
        <f t="shared" si="3"/>
        <v>1.509252E-3</v>
      </c>
      <c r="I12" s="5">
        <f t="shared" si="4"/>
        <v>1.5669872E-3</v>
      </c>
      <c r="J12" s="5">
        <f t="shared" si="5"/>
        <v>2.4537200000000005E-4</v>
      </c>
      <c r="K12" s="5">
        <f t="shared" si="6"/>
        <v>2.1650800000000002E-4</v>
      </c>
      <c r="L12" s="5">
        <v>1.6000000000000001E-3</v>
      </c>
      <c r="M12" s="5">
        <f t="shared" si="7"/>
        <v>1.6247219999999999E-3</v>
      </c>
      <c r="N12" s="5">
        <f t="shared" si="8"/>
        <v>1.509252E-3</v>
      </c>
      <c r="O12" s="5">
        <f t="shared" si="9"/>
        <v>2.0732324786794688E-6</v>
      </c>
      <c r="P12" s="5">
        <f t="shared" si="9"/>
        <v>1.7890126087607475E-6</v>
      </c>
      <c r="Q12" s="132" t="s">
        <v>25</v>
      </c>
      <c r="R12" s="134">
        <f>IF(Q12="fine (H12)",0.0022,IF(Q12="medium (H13)",0.0024,IF(Q12="coarse (H14)",0.0026)))</f>
        <v>2.2000000000000001E-3</v>
      </c>
      <c r="S12" s="132">
        <v>3.8E-3</v>
      </c>
      <c r="T12" s="136">
        <f t="shared" ref="T12" si="10">IF(S12="","",0.5*(R12+S12))</f>
        <v>3.0000000000000001E-3</v>
      </c>
      <c r="U12" s="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5"/>
    </row>
    <row r="13" spans="1:65" x14ac:dyDescent="0.3">
      <c r="B13" s="130"/>
      <c r="C13" s="5">
        <v>2E-3</v>
      </c>
      <c r="D13" s="5">
        <v>2.5000000000000001E-4</v>
      </c>
      <c r="E13" s="5">
        <f t="shared" si="0"/>
        <v>2.1650635094610965E-4</v>
      </c>
      <c r="F13" s="5">
        <f t="shared" si="1"/>
        <v>3.6084391824351606E-5</v>
      </c>
      <c r="G13" s="5">
        <f t="shared" si="2"/>
        <v>1.8376200000000001E-3</v>
      </c>
      <c r="H13" s="5">
        <f t="shared" si="3"/>
        <v>1.6932825000000001E-3</v>
      </c>
      <c r="I13" s="5">
        <f t="shared" si="4"/>
        <v>1.7293670000000001E-3</v>
      </c>
      <c r="J13" s="5">
        <f t="shared" si="5"/>
        <v>1.5335750000000002E-4</v>
      </c>
      <c r="K13" s="5">
        <f t="shared" si="6"/>
        <v>1.3531750000000001E-4</v>
      </c>
      <c r="L13" s="5">
        <v>1.75E-3</v>
      </c>
      <c r="M13" s="5">
        <f t="shared" si="7"/>
        <v>1.7654512500000002E-3</v>
      </c>
      <c r="N13" s="5">
        <f t="shared" si="8"/>
        <v>1.6932825000000001E-3</v>
      </c>
      <c r="O13" s="5">
        <f t="shared" si="9"/>
        <v>2.4479432240496975E-6</v>
      </c>
      <c r="P13" s="5">
        <f t="shared" si="9"/>
        <v>2.2518980318056623E-6</v>
      </c>
      <c r="Q13" s="132"/>
      <c r="R13" s="134"/>
      <c r="S13" s="132"/>
      <c r="T13" s="136"/>
      <c r="U13" s="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5"/>
    </row>
    <row r="14" spans="1:65" x14ac:dyDescent="0.3">
      <c r="B14" s="130" t="s">
        <v>27</v>
      </c>
      <c r="C14" s="5">
        <v>2.5000000000000001E-3</v>
      </c>
      <c r="D14" s="5">
        <v>4.4999999999999999E-4</v>
      </c>
      <c r="E14" s="5">
        <f t="shared" si="0"/>
        <v>3.8971143170299735E-4</v>
      </c>
      <c r="F14" s="5">
        <f t="shared" si="1"/>
        <v>6.4951905283832891E-5</v>
      </c>
      <c r="G14" s="5">
        <f t="shared" si="2"/>
        <v>2.2077160000000002E-3</v>
      </c>
      <c r="H14" s="5">
        <f t="shared" si="3"/>
        <v>1.9479085000000001E-3</v>
      </c>
      <c r="I14" s="5">
        <f t="shared" si="4"/>
        <v>2.0128606000000002E-3</v>
      </c>
      <c r="J14" s="5">
        <f t="shared" si="5"/>
        <v>2.7604350000000002E-4</v>
      </c>
      <c r="K14" s="5">
        <f t="shared" si="6"/>
        <v>2.435715E-4</v>
      </c>
      <c r="L14" s="5">
        <v>2.0500000000000002E-3</v>
      </c>
      <c r="M14" s="5">
        <f t="shared" si="7"/>
        <v>2.0778122499999999E-3</v>
      </c>
      <c r="N14" s="5">
        <f t="shared" si="8"/>
        <v>1.9479085000000001E-3</v>
      </c>
      <c r="O14" s="5">
        <f t="shared" si="9"/>
        <v>3.3908024331337216E-6</v>
      </c>
      <c r="P14" s="5">
        <f t="shared" si="9"/>
        <v>2.98007357693362E-6</v>
      </c>
      <c r="Q14" s="132" t="s">
        <v>25</v>
      </c>
      <c r="R14" s="134">
        <f>IF(Q14="fine (H12)",0.0027,IF(Q14="medium (H13)",0.0029,IF(Q14="coarse (H14)",0.0031)))</f>
        <v>2.7000000000000001E-3</v>
      </c>
      <c r="S14" s="132">
        <v>4.4999999999999997E-3</v>
      </c>
      <c r="T14" s="136">
        <f t="shared" ref="T14" si="11">IF(S14="","",0.5*(R14+S14))</f>
        <v>3.5999999999999999E-3</v>
      </c>
      <c r="U14" s="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5"/>
    </row>
    <row r="15" spans="1:65" x14ac:dyDescent="0.3">
      <c r="B15" s="130"/>
      <c r="C15" s="5">
        <v>2.5000000000000001E-3</v>
      </c>
      <c r="D15" s="5">
        <v>3.5E-4</v>
      </c>
      <c r="E15" s="5">
        <f t="shared" si="0"/>
        <v>3.0310889132455351E-4</v>
      </c>
      <c r="F15" s="5">
        <f t="shared" si="1"/>
        <v>5.0518148554092252E-5</v>
      </c>
      <c r="G15" s="5">
        <f t="shared" si="2"/>
        <v>2.2726680000000003E-3</v>
      </c>
      <c r="H15" s="5">
        <f t="shared" si="3"/>
        <v>2.0705955000000003E-3</v>
      </c>
      <c r="I15" s="5">
        <f t="shared" si="4"/>
        <v>2.1211138000000003E-3</v>
      </c>
      <c r="J15" s="5">
        <f t="shared" si="5"/>
        <v>2.147005E-4</v>
      </c>
      <c r="K15" s="5">
        <f t="shared" si="6"/>
        <v>1.8944450000000002E-4</v>
      </c>
      <c r="L15" s="5">
        <v>2.15E-3</v>
      </c>
      <c r="M15" s="5">
        <f t="shared" si="7"/>
        <v>2.1716317500000003E-3</v>
      </c>
      <c r="N15" s="5">
        <f t="shared" si="8"/>
        <v>2.0705955000000003E-3</v>
      </c>
      <c r="O15" s="5">
        <f t="shared" si="9"/>
        <v>3.7039255316162844E-6</v>
      </c>
      <c r="P15" s="5">
        <f t="shared" si="9"/>
        <v>3.3672891659299155E-6</v>
      </c>
      <c r="Q15" s="132"/>
      <c r="R15" s="134"/>
      <c r="S15" s="132"/>
      <c r="T15" s="136"/>
      <c r="U15" s="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5"/>
    </row>
    <row r="16" spans="1:65" x14ac:dyDescent="0.3">
      <c r="B16" s="130" t="s">
        <v>28</v>
      </c>
      <c r="C16" s="5">
        <v>3.0000000000000001E-3</v>
      </c>
      <c r="D16" s="5">
        <v>5.0000000000000001E-4</v>
      </c>
      <c r="E16" s="5">
        <f t="shared" si="0"/>
        <v>4.3301270189221929E-4</v>
      </c>
      <c r="F16" s="5">
        <f t="shared" si="1"/>
        <v>7.2168783648703211E-5</v>
      </c>
      <c r="G16" s="5">
        <f t="shared" si="2"/>
        <v>2.6752400000000002E-3</v>
      </c>
      <c r="H16" s="5">
        <f t="shared" si="3"/>
        <v>2.3865650000000002E-3</v>
      </c>
      <c r="I16" s="5">
        <f t="shared" si="4"/>
        <v>2.4587340000000002E-3</v>
      </c>
      <c r="J16" s="5">
        <f t="shared" si="5"/>
        <v>3.0671500000000005E-4</v>
      </c>
      <c r="K16" s="5">
        <f t="shared" si="6"/>
        <v>2.7063500000000003E-4</v>
      </c>
      <c r="L16" s="5">
        <v>2.5000000000000001E-3</v>
      </c>
      <c r="M16" s="5">
        <f t="shared" si="7"/>
        <v>2.5309025000000004E-3</v>
      </c>
      <c r="N16" s="5">
        <f t="shared" si="8"/>
        <v>2.3865650000000002E-3</v>
      </c>
      <c r="O16" s="5">
        <f t="shared" si="9"/>
        <v>5.0308423823253199E-6</v>
      </c>
      <c r="P16" s="5">
        <f t="shared" si="9"/>
        <v>4.4733864281679384E-6</v>
      </c>
      <c r="Q16" s="132" t="s">
        <v>25</v>
      </c>
      <c r="R16" s="134">
        <f>IF(Q16="fine (H12)",0.0032,IF(Q16="medium (H13)",0.0034,IF(Q16="coarse (H14)",0.0036)))</f>
        <v>3.2000000000000002E-3</v>
      </c>
      <c r="S16" s="132">
        <v>5.4999999999999997E-3</v>
      </c>
      <c r="T16" s="136">
        <f t="shared" ref="T16" si="12">IF(S16="","",0.5*(R16+S16))</f>
        <v>4.3499999999999997E-3</v>
      </c>
      <c r="U16" s="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5"/>
    </row>
    <row r="17" spans="2:65" x14ac:dyDescent="0.3">
      <c r="B17" s="130"/>
      <c r="C17" s="5">
        <v>3.0000000000000001E-3</v>
      </c>
      <c r="D17" s="5">
        <v>3.5E-4</v>
      </c>
      <c r="E17" s="5">
        <f t="shared" si="0"/>
        <v>3.0310889132455351E-4</v>
      </c>
      <c r="F17" s="5">
        <f t="shared" si="1"/>
        <v>5.0518148554092252E-5</v>
      </c>
      <c r="G17" s="5">
        <f t="shared" si="2"/>
        <v>2.7726680000000003E-3</v>
      </c>
      <c r="H17" s="5">
        <f t="shared" si="3"/>
        <v>2.5705954999999999E-3</v>
      </c>
      <c r="I17" s="5">
        <f t="shared" si="4"/>
        <v>2.6211137999999998E-3</v>
      </c>
      <c r="J17" s="5">
        <f t="shared" si="5"/>
        <v>2.147005E-4</v>
      </c>
      <c r="K17" s="5">
        <f t="shared" si="6"/>
        <v>1.8944450000000002E-4</v>
      </c>
      <c r="L17" s="5">
        <v>2.65E-3</v>
      </c>
      <c r="M17" s="5">
        <f t="shared" si="7"/>
        <v>2.6716317500000003E-3</v>
      </c>
      <c r="N17" s="5">
        <f t="shared" si="8"/>
        <v>2.5705954999999999E-3</v>
      </c>
      <c r="O17" s="5">
        <f t="shared" si="9"/>
        <v>5.6058706604912332E-6</v>
      </c>
      <c r="P17" s="5">
        <f t="shared" si="9"/>
        <v>5.1898806096182971E-6</v>
      </c>
      <c r="Q17" s="132"/>
      <c r="R17" s="134"/>
      <c r="S17" s="132"/>
      <c r="T17" s="136"/>
      <c r="U17" s="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5"/>
    </row>
    <row r="18" spans="2:65" x14ac:dyDescent="0.3">
      <c r="B18" s="130" t="s">
        <v>29</v>
      </c>
      <c r="C18" s="5">
        <v>3.5000000000000001E-3</v>
      </c>
      <c r="D18" s="5">
        <v>5.9999999999999995E-4</v>
      </c>
      <c r="E18" s="5">
        <f t="shared" si="0"/>
        <v>5.1961524227066313E-4</v>
      </c>
      <c r="F18" s="5">
        <f t="shared" si="1"/>
        <v>8.6602540378443851E-5</v>
      </c>
      <c r="G18" s="5">
        <f t="shared" si="2"/>
        <v>3.1102880000000001E-3</v>
      </c>
      <c r="H18" s="5">
        <f t="shared" si="3"/>
        <v>2.763878E-3</v>
      </c>
      <c r="I18" s="5">
        <f t="shared" si="4"/>
        <v>2.8504808000000001E-3</v>
      </c>
      <c r="J18" s="5">
        <f t="shared" si="5"/>
        <v>3.6805799999999999E-4</v>
      </c>
      <c r="K18" s="5">
        <f t="shared" si="6"/>
        <v>3.2476199999999998E-4</v>
      </c>
      <c r="L18" s="5">
        <v>2.8999999999999998E-3</v>
      </c>
      <c r="M18" s="5">
        <f t="shared" si="7"/>
        <v>2.9370830000000001E-3</v>
      </c>
      <c r="N18" s="5">
        <f t="shared" si="8"/>
        <v>2.763878E-3</v>
      </c>
      <c r="O18" s="5">
        <f t="shared" si="9"/>
        <v>6.775203130125311E-6</v>
      </c>
      <c r="P18" s="5">
        <f t="shared" si="9"/>
        <v>5.9996735339169326E-6</v>
      </c>
      <c r="Q18" s="132" t="s">
        <v>25</v>
      </c>
      <c r="R18" s="134">
        <f>IF(Q18="fine (H12)",0.0037,IF(Q18="medium (H13)",0.0039,IF(Q18="coarse (H14)",0.0042)))</f>
        <v>3.7000000000000002E-3</v>
      </c>
      <c r="S18" s="132"/>
      <c r="T18" s="136" t="str">
        <f t="shared" ref="T18" si="13">IF(S18="","",0.5*(R18+S18))</f>
        <v/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5"/>
    </row>
    <row r="19" spans="2:65" x14ac:dyDescent="0.3">
      <c r="B19" s="130"/>
      <c r="C19" s="5">
        <v>3.5000000000000001E-3</v>
      </c>
      <c r="D19" s="5">
        <v>3.5E-4</v>
      </c>
      <c r="E19" s="5">
        <f t="shared" si="0"/>
        <v>3.0310889132455351E-4</v>
      </c>
      <c r="F19" s="5">
        <f t="shared" si="1"/>
        <v>5.0518148554092252E-5</v>
      </c>
      <c r="G19" s="5">
        <f t="shared" si="2"/>
        <v>3.2726680000000003E-3</v>
      </c>
      <c r="H19" s="5">
        <f t="shared" si="3"/>
        <v>3.0705955000000004E-3</v>
      </c>
      <c r="I19" s="5">
        <f t="shared" si="4"/>
        <v>3.1211138000000003E-3</v>
      </c>
      <c r="J19" s="5">
        <f t="shared" si="5"/>
        <v>2.147005E-4</v>
      </c>
      <c r="K19" s="5">
        <f t="shared" si="6"/>
        <v>1.8944450000000002E-4</v>
      </c>
      <c r="L19" s="5">
        <v>3.15E-3</v>
      </c>
      <c r="M19" s="5">
        <f t="shared" si="7"/>
        <v>3.1716317500000003E-3</v>
      </c>
      <c r="N19" s="5">
        <f t="shared" si="8"/>
        <v>3.0705955000000004E-3</v>
      </c>
      <c r="O19" s="5">
        <f t="shared" si="9"/>
        <v>7.9005148710649067E-6</v>
      </c>
      <c r="P19" s="5">
        <f t="shared" si="9"/>
        <v>7.4051711350054065E-6</v>
      </c>
      <c r="Q19" s="132"/>
      <c r="R19" s="134"/>
      <c r="S19" s="132"/>
      <c r="T19" s="136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5"/>
    </row>
    <row r="20" spans="2:65" x14ac:dyDescent="0.3">
      <c r="B20" s="137" t="s">
        <v>30</v>
      </c>
      <c r="C20" s="5">
        <v>4.0000000000000001E-3</v>
      </c>
      <c r="D20" s="5">
        <v>6.9999999999999999E-4</v>
      </c>
      <c r="E20" s="5">
        <f t="shared" si="0"/>
        <v>6.0621778264910702E-4</v>
      </c>
      <c r="F20" s="5">
        <f t="shared" si="1"/>
        <v>1.010362971081845E-4</v>
      </c>
      <c r="G20" s="5">
        <f t="shared" si="2"/>
        <v>3.5453360000000001E-3</v>
      </c>
      <c r="H20" s="5">
        <f t="shared" si="3"/>
        <v>3.1411910000000002E-3</v>
      </c>
      <c r="I20" s="5">
        <f t="shared" si="4"/>
        <v>3.2422276000000001E-3</v>
      </c>
      <c r="J20" s="5">
        <f t="shared" si="5"/>
        <v>4.2940099999999999E-4</v>
      </c>
      <c r="K20" s="5">
        <f t="shared" si="6"/>
        <v>3.7888900000000004E-4</v>
      </c>
      <c r="L20" s="5">
        <v>3.3E-3</v>
      </c>
      <c r="M20" s="5">
        <f t="shared" si="7"/>
        <v>3.3432635000000001E-3</v>
      </c>
      <c r="N20" s="5">
        <f t="shared" si="8"/>
        <v>3.1411910000000002E-3</v>
      </c>
      <c r="O20" s="5">
        <f t="shared" si="9"/>
        <v>8.778717937760238E-6</v>
      </c>
      <c r="P20" s="5">
        <f t="shared" si="9"/>
        <v>7.749587215761022E-6</v>
      </c>
      <c r="Q20" s="132" t="s">
        <v>25</v>
      </c>
      <c r="R20" s="134">
        <f>IF(Q20="fine (H12)",0.0043,IF(Q20="medium (H13)",0.0045,IF(Q20="coarse (H14)",0.0048)))</f>
        <v>4.3E-3</v>
      </c>
      <c r="S20" s="132">
        <v>7.0000000000000001E-3</v>
      </c>
      <c r="T20" s="136">
        <f>IF(S20="","",0.5*(R20+S20))</f>
        <v>5.6500000000000005E-3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5"/>
    </row>
    <row r="21" spans="2:65" x14ac:dyDescent="0.3">
      <c r="B21" s="137"/>
      <c r="C21" s="5">
        <v>4.0000000000000001E-3</v>
      </c>
      <c r="D21" s="5">
        <v>5.0000000000000001E-4</v>
      </c>
      <c r="E21" s="5">
        <f t="shared" si="0"/>
        <v>4.3301270189221929E-4</v>
      </c>
      <c r="F21" s="5">
        <f t="shared" si="1"/>
        <v>7.2168783648703211E-5</v>
      </c>
      <c r="G21" s="5">
        <f t="shared" si="2"/>
        <v>3.6752400000000002E-3</v>
      </c>
      <c r="H21" s="5">
        <f t="shared" si="3"/>
        <v>3.3865650000000002E-3</v>
      </c>
      <c r="I21" s="5">
        <f t="shared" si="4"/>
        <v>3.4587340000000002E-3</v>
      </c>
      <c r="J21" s="5">
        <f t="shared" si="5"/>
        <v>3.0671500000000005E-4</v>
      </c>
      <c r="K21" s="5">
        <f t="shared" si="6"/>
        <v>2.7063500000000003E-4</v>
      </c>
      <c r="L21" s="5">
        <v>3.5000000000000001E-3</v>
      </c>
      <c r="M21" s="5">
        <f t="shared" si="7"/>
        <v>3.5309025000000004E-3</v>
      </c>
      <c r="N21" s="5">
        <f t="shared" si="8"/>
        <v>3.3865650000000002E-3</v>
      </c>
      <c r="O21" s="5">
        <f t="shared" si="9"/>
        <v>9.7917728961987901E-6</v>
      </c>
      <c r="P21" s="5">
        <f t="shared" si="9"/>
        <v>9.0075921272226493E-6</v>
      </c>
      <c r="Q21" s="132"/>
      <c r="R21" s="134"/>
      <c r="S21" s="132"/>
      <c r="T21" s="136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5"/>
    </row>
    <row r="22" spans="2:65" x14ac:dyDescent="0.3">
      <c r="B22" s="137"/>
      <c r="C22" s="5">
        <v>4.0000000000000001E-3</v>
      </c>
      <c r="D22" s="5">
        <v>3.5E-4</v>
      </c>
      <c r="E22" s="5">
        <f t="shared" si="0"/>
        <v>3.0310889132455351E-4</v>
      </c>
      <c r="F22" s="5">
        <f t="shared" si="1"/>
        <v>5.0518148554092252E-5</v>
      </c>
      <c r="G22" s="5">
        <f t="shared" si="2"/>
        <v>3.7726680000000003E-3</v>
      </c>
      <c r="H22" s="5">
        <f t="shared" si="3"/>
        <v>3.5705954999999999E-3</v>
      </c>
      <c r="I22" s="5">
        <f t="shared" si="4"/>
        <v>3.6211137999999999E-3</v>
      </c>
      <c r="J22" s="5">
        <f t="shared" si="5"/>
        <v>2.147005E-4</v>
      </c>
      <c r="K22" s="5">
        <f t="shared" si="6"/>
        <v>1.8944450000000002E-4</v>
      </c>
      <c r="L22" s="5">
        <v>3.65E-3</v>
      </c>
      <c r="M22" s="5">
        <f t="shared" si="7"/>
        <v>3.6716317500000003E-3</v>
      </c>
      <c r="N22" s="5">
        <f t="shared" si="8"/>
        <v>3.5705954999999999E-3</v>
      </c>
      <c r="O22" s="5">
        <f t="shared" si="9"/>
        <v>1.0587858163337304E-5</v>
      </c>
      <c r="P22" s="5">
        <f t="shared" si="9"/>
        <v>1.0013160742091237E-5</v>
      </c>
      <c r="Q22" s="132"/>
      <c r="R22" s="134"/>
      <c r="S22" s="132"/>
      <c r="T22" s="136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5"/>
    </row>
    <row r="23" spans="2:65" x14ac:dyDescent="0.3">
      <c r="B23" s="137" t="s">
        <v>31</v>
      </c>
      <c r="C23" s="5">
        <v>5.0000000000000001E-3</v>
      </c>
      <c r="D23" s="5">
        <v>8.0000000000000004E-4</v>
      </c>
      <c r="E23" s="5">
        <f t="shared" si="0"/>
        <v>6.9282032302755091E-4</v>
      </c>
      <c r="F23" s="5">
        <f t="shared" si="1"/>
        <v>1.1547005383792516E-4</v>
      </c>
      <c r="G23" s="5">
        <f t="shared" si="2"/>
        <v>4.4803840000000004E-3</v>
      </c>
      <c r="H23" s="5">
        <f t="shared" si="3"/>
        <v>4.018504E-3</v>
      </c>
      <c r="I23" s="5">
        <f t="shared" si="4"/>
        <v>4.1339744000000005E-3</v>
      </c>
      <c r="J23" s="5">
        <f t="shared" si="5"/>
        <v>4.907440000000001E-4</v>
      </c>
      <c r="K23" s="5">
        <f t="shared" si="6"/>
        <v>4.3301600000000004E-4</v>
      </c>
      <c r="L23" s="5">
        <v>4.1999999999999997E-3</v>
      </c>
      <c r="M23" s="5">
        <f t="shared" si="7"/>
        <v>4.2494439999999998E-3</v>
      </c>
      <c r="N23" s="5">
        <f t="shared" si="8"/>
        <v>4.018504E-3</v>
      </c>
      <c r="O23" s="5">
        <f t="shared" si="9"/>
        <v>1.4182542777441039E-5</v>
      </c>
      <c r="P23" s="5">
        <f t="shared" si="9"/>
        <v>1.2682903594056141E-5</v>
      </c>
      <c r="Q23" s="132" t="s">
        <v>25</v>
      </c>
      <c r="R23" s="134">
        <f>IF(Q23="fine (H12)",0.0053,IF(Q23="medium (H13)",0.0055,IF(Q23="coarse (H14)",0.0058)))</f>
        <v>5.3E-3</v>
      </c>
      <c r="S23" s="132">
        <v>8.5000000000000006E-3</v>
      </c>
      <c r="T23" s="136">
        <f>IF(S23="","",0.5*(R23+S23))</f>
        <v>6.8999999999999999E-3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5"/>
    </row>
    <row r="24" spans="2:65" x14ac:dyDescent="0.3">
      <c r="B24" s="137"/>
      <c r="C24" s="5">
        <v>5.0000000000000001E-3</v>
      </c>
      <c r="D24" s="5">
        <v>5.0000000000000001E-4</v>
      </c>
      <c r="E24" s="5">
        <f t="shared" si="0"/>
        <v>4.3301270189221929E-4</v>
      </c>
      <c r="F24" s="5">
        <f t="shared" si="1"/>
        <v>7.2168783648703211E-5</v>
      </c>
      <c r="G24" s="5">
        <f t="shared" si="2"/>
        <v>4.6752399999999998E-3</v>
      </c>
      <c r="H24" s="5">
        <f t="shared" si="3"/>
        <v>4.3865650000000003E-3</v>
      </c>
      <c r="I24" s="5">
        <f t="shared" si="4"/>
        <v>4.4587339999999998E-3</v>
      </c>
      <c r="J24" s="5">
        <f t="shared" si="5"/>
        <v>3.0671500000000005E-4</v>
      </c>
      <c r="K24" s="5">
        <f t="shared" si="6"/>
        <v>2.7063500000000003E-4</v>
      </c>
      <c r="L24" s="5">
        <v>4.4999999999999997E-3</v>
      </c>
      <c r="M24" s="5">
        <f t="shared" si="7"/>
        <v>4.5309024999999996E-3</v>
      </c>
      <c r="N24" s="5">
        <f t="shared" si="8"/>
        <v>4.3865650000000003E-3</v>
      </c>
      <c r="O24" s="5">
        <f t="shared" si="9"/>
        <v>1.6123499736867147E-5</v>
      </c>
      <c r="P24" s="5">
        <f t="shared" si="9"/>
        <v>1.5112594153072256E-5</v>
      </c>
      <c r="Q24" s="132"/>
      <c r="R24" s="134"/>
      <c r="S24" s="132"/>
      <c r="T24" s="136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5"/>
    </row>
    <row r="25" spans="2:65" x14ac:dyDescent="0.3">
      <c r="B25" s="130" t="s">
        <v>32</v>
      </c>
      <c r="C25" s="5">
        <v>6.0000000000000001E-3</v>
      </c>
      <c r="D25" s="5">
        <v>1E-3</v>
      </c>
      <c r="E25" s="5">
        <f t="shared" si="0"/>
        <v>8.6602540378443859E-4</v>
      </c>
      <c r="F25" s="5">
        <f t="shared" si="1"/>
        <v>1.4433756729740642E-4</v>
      </c>
      <c r="G25" s="5">
        <f t="shared" si="2"/>
        <v>5.3504800000000003E-3</v>
      </c>
      <c r="H25" s="5">
        <f t="shared" si="3"/>
        <v>4.7731300000000004E-3</v>
      </c>
      <c r="I25" s="5">
        <f t="shared" si="4"/>
        <v>4.9174680000000004E-3</v>
      </c>
      <c r="J25" s="5">
        <f t="shared" si="5"/>
        <v>6.1343000000000009E-4</v>
      </c>
      <c r="K25" s="5">
        <f t="shared" si="6"/>
        <v>5.4127000000000005E-4</v>
      </c>
      <c r="L25" s="5">
        <v>5.0000000000000001E-3</v>
      </c>
      <c r="M25" s="5">
        <f t="shared" si="7"/>
        <v>5.0618050000000008E-3</v>
      </c>
      <c r="N25" s="5">
        <f t="shared" si="8"/>
        <v>4.7731300000000004E-3</v>
      </c>
      <c r="O25" s="5">
        <f t="shared" si="9"/>
        <v>2.012336952930128E-5</v>
      </c>
      <c r="P25" s="5">
        <f t="shared" si="9"/>
        <v>1.7893545712671754E-5</v>
      </c>
      <c r="Q25" s="132" t="s">
        <v>25</v>
      </c>
      <c r="R25" s="134">
        <f>IF(Q25="fine (H12)",0.0064,IF(Q25="medium (H13)",0.0066,IF(Q25="coarse (H14)",0.007)))</f>
        <v>6.4000000000000003E-3</v>
      </c>
      <c r="S25" s="132">
        <v>0.01</v>
      </c>
      <c r="T25" s="136">
        <f>IF(S25="","",0.5*(R25+S25))</f>
        <v>8.2000000000000007E-3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</row>
    <row r="26" spans="2:65" x14ac:dyDescent="0.3">
      <c r="B26" s="130"/>
      <c r="C26" s="5">
        <v>6.0000000000000001E-3</v>
      </c>
      <c r="D26" s="5">
        <v>7.5000000000000002E-4</v>
      </c>
      <c r="E26" s="5">
        <f t="shared" si="0"/>
        <v>6.4951905283832897E-4</v>
      </c>
      <c r="F26" s="5">
        <f t="shared" si="1"/>
        <v>1.0825317547305482E-4</v>
      </c>
      <c r="G26" s="5">
        <f t="shared" si="2"/>
        <v>5.5128600000000005E-3</v>
      </c>
      <c r="H26" s="5">
        <f t="shared" si="3"/>
        <v>5.0798474999999999E-3</v>
      </c>
      <c r="I26" s="5">
        <f t="shared" si="4"/>
        <v>5.1881010000000005E-3</v>
      </c>
      <c r="J26" s="5">
        <f t="shared" si="5"/>
        <v>4.6007250000000002E-4</v>
      </c>
      <c r="K26" s="5">
        <f t="shared" si="6"/>
        <v>4.0595250000000001E-4</v>
      </c>
      <c r="L26" s="5">
        <v>5.2500000000000003E-3</v>
      </c>
      <c r="M26" s="5">
        <f t="shared" si="7"/>
        <v>5.2963537499999998E-3</v>
      </c>
      <c r="N26" s="5">
        <f t="shared" si="8"/>
        <v>5.0798474999999999E-3</v>
      </c>
      <c r="O26" s="5">
        <f t="shared" si="9"/>
        <v>2.203148901644727E-5</v>
      </c>
      <c r="P26" s="5">
        <f t="shared" si="9"/>
        <v>2.0267082286250958E-5</v>
      </c>
      <c r="Q26" s="132"/>
      <c r="R26" s="134"/>
      <c r="S26" s="132"/>
      <c r="T26" s="136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</row>
    <row r="27" spans="2:65" x14ac:dyDescent="0.3">
      <c r="B27" s="130"/>
      <c r="C27" s="5">
        <v>6.0000000000000001E-3</v>
      </c>
      <c r="D27" s="5">
        <v>5.0000000000000001E-4</v>
      </c>
      <c r="E27" s="5">
        <f t="shared" si="0"/>
        <v>4.3301270189221929E-4</v>
      </c>
      <c r="F27" s="5">
        <f t="shared" si="1"/>
        <v>7.2168783648703211E-5</v>
      </c>
      <c r="G27" s="5">
        <f t="shared" si="2"/>
        <v>5.6752399999999998E-3</v>
      </c>
      <c r="H27" s="5">
        <f t="shared" si="3"/>
        <v>5.3865650000000003E-3</v>
      </c>
      <c r="I27" s="5">
        <f t="shared" si="4"/>
        <v>5.4587339999999998E-3</v>
      </c>
      <c r="J27" s="5">
        <f t="shared" si="5"/>
        <v>3.0671500000000005E-4</v>
      </c>
      <c r="K27" s="5">
        <f t="shared" si="6"/>
        <v>2.7063500000000003E-4</v>
      </c>
      <c r="L27" s="5">
        <v>5.4999999999999997E-3</v>
      </c>
      <c r="M27" s="5">
        <f t="shared" si="7"/>
        <v>5.5309025000000005E-3</v>
      </c>
      <c r="N27" s="5">
        <f t="shared" si="8"/>
        <v>5.3865650000000003E-3</v>
      </c>
      <c r="O27" s="5">
        <f t="shared" si="9"/>
        <v>2.402602290433042E-5</v>
      </c>
      <c r="P27" s="5">
        <f t="shared" si="9"/>
        <v>2.2788392505716761E-5</v>
      </c>
      <c r="Q27" s="132"/>
      <c r="R27" s="134"/>
      <c r="S27" s="132"/>
      <c r="T27" s="136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</row>
    <row r="28" spans="2:65" x14ac:dyDescent="0.3">
      <c r="B28" s="130" t="s">
        <v>33</v>
      </c>
      <c r="C28" s="5">
        <v>7.0000000000000001E-3</v>
      </c>
      <c r="D28" s="5">
        <v>1E-3</v>
      </c>
      <c r="E28" s="5">
        <f t="shared" si="0"/>
        <v>8.6602540378443859E-4</v>
      </c>
      <c r="F28" s="5">
        <f t="shared" si="1"/>
        <v>1.4433756729740642E-4</v>
      </c>
      <c r="G28" s="5">
        <f t="shared" si="2"/>
        <v>6.3504800000000004E-3</v>
      </c>
      <c r="H28" s="5">
        <f t="shared" si="3"/>
        <v>5.7731300000000004E-3</v>
      </c>
      <c r="I28" s="5">
        <f t="shared" si="4"/>
        <v>5.9174680000000004E-3</v>
      </c>
      <c r="J28" s="5">
        <f t="shared" si="5"/>
        <v>6.1343000000000009E-4</v>
      </c>
      <c r="K28" s="5">
        <f t="shared" si="6"/>
        <v>5.4127000000000005E-4</v>
      </c>
      <c r="L28" s="5">
        <v>6.0000000000000001E-3</v>
      </c>
      <c r="M28" s="5">
        <f t="shared" si="7"/>
        <v>6.061805E-3</v>
      </c>
      <c r="N28" s="5">
        <f t="shared" si="8"/>
        <v>5.7731300000000004E-3</v>
      </c>
      <c r="O28" s="5">
        <f t="shared" si="9"/>
        <v>2.8859832393650765E-5</v>
      </c>
      <c r="P28" s="5">
        <f t="shared" si="9"/>
        <v>2.6176558947383723E-5</v>
      </c>
      <c r="Q28" s="132" t="s">
        <v>25</v>
      </c>
      <c r="R28" s="134">
        <f>IF(Q28="fine (H12)",0.0074,IF(Q28="medium (H13)",0.0076,IF(Q28="coarse (H14)",0.008)))</f>
        <v>7.4000000000000003E-3</v>
      </c>
      <c r="S28" s="132"/>
      <c r="T28" s="136" t="str">
        <f t="shared" ref="T28" si="14">IF(S28="","",0.5*(R28+S28))</f>
        <v/>
      </c>
    </row>
    <row r="29" spans="2:65" x14ac:dyDescent="0.3">
      <c r="B29" s="130"/>
      <c r="C29" s="5">
        <v>7.0000000000000001E-3</v>
      </c>
      <c r="D29" s="5">
        <v>7.5000000000000002E-4</v>
      </c>
      <c r="E29" s="5">
        <f t="shared" si="0"/>
        <v>6.4951905283832897E-4</v>
      </c>
      <c r="F29" s="5">
        <f t="shared" si="1"/>
        <v>1.0825317547305482E-4</v>
      </c>
      <c r="G29" s="5">
        <f t="shared" si="2"/>
        <v>6.5128600000000005E-3</v>
      </c>
      <c r="H29" s="5">
        <f t="shared" si="3"/>
        <v>6.0798474999999999E-3</v>
      </c>
      <c r="I29" s="5">
        <f t="shared" si="4"/>
        <v>6.1881009999999997E-3</v>
      </c>
      <c r="J29" s="5">
        <f t="shared" si="5"/>
        <v>4.6007250000000002E-4</v>
      </c>
      <c r="K29" s="5">
        <f t="shared" si="6"/>
        <v>4.0595250000000001E-4</v>
      </c>
      <c r="L29" s="5">
        <v>6.2500000000000003E-3</v>
      </c>
      <c r="M29" s="5">
        <f t="shared" si="7"/>
        <v>6.2963537500000007E-3</v>
      </c>
      <c r="N29" s="5">
        <f t="shared" si="8"/>
        <v>6.0798474999999999E-3</v>
      </c>
      <c r="O29" s="5">
        <f t="shared" si="9"/>
        <v>3.1136380195751097E-5</v>
      </c>
      <c r="P29" s="5">
        <f t="shared" si="9"/>
        <v>2.903188624332664E-5</v>
      </c>
      <c r="Q29" s="132"/>
      <c r="R29" s="134"/>
      <c r="S29" s="132"/>
      <c r="T29" s="136"/>
    </row>
    <row r="30" spans="2:65" x14ac:dyDescent="0.3">
      <c r="B30" s="130"/>
      <c r="C30" s="5">
        <v>7.0000000000000001E-3</v>
      </c>
      <c r="D30" s="5">
        <v>5.0000000000000001E-4</v>
      </c>
      <c r="E30" s="5">
        <f t="shared" si="0"/>
        <v>4.3301270189221929E-4</v>
      </c>
      <c r="F30" s="5">
        <f t="shared" si="1"/>
        <v>7.2168783648703211E-5</v>
      </c>
      <c r="G30" s="5">
        <f t="shared" si="2"/>
        <v>6.6752399999999998E-3</v>
      </c>
      <c r="H30" s="5">
        <f t="shared" si="3"/>
        <v>6.3865650000000003E-3</v>
      </c>
      <c r="I30" s="5">
        <f t="shared" si="4"/>
        <v>6.4587339999999998E-3</v>
      </c>
      <c r="J30" s="5">
        <f t="shared" si="5"/>
        <v>3.0671500000000005E-4</v>
      </c>
      <c r="K30" s="5">
        <f t="shared" si="6"/>
        <v>2.7063500000000003E-4</v>
      </c>
      <c r="L30" s="5">
        <v>6.4999999999999997E-3</v>
      </c>
      <c r="M30" s="5">
        <f t="shared" si="7"/>
        <v>6.5309024999999996E-3</v>
      </c>
      <c r="N30" s="5">
        <f t="shared" si="8"/>
        <v>6.3865650000000003E-3</v>
      </c>
      <c r="O30" s="5">
        <f t="shared" si="9"/>
        <v>3.3499342398588566E-5</v>
      </c>
      <c r="P30" s="5">
        <f t="shared" si="9"/>
        <v>3.2034987185156163E-5</v>
      </c>
      <c r="Q30" s="132"/>
      <c r="R30" s="134"/>
      <c r="S30" s="132"/>
      <c r="T30" s="136"/>
    </row>
    <row r="31" spans="2:65" x14ac:dyDescent="0.3">
      <c r="B31" s="130" t="s">
        <v>34</v>
      </c>
      <c r="C31" s="5">
        <v>8.0000000000000002E-3</v>
      </c>
      <c r="D31" s="5">
        <v>1.25E-3</v>
      </c>
      <c r="E31" s="5">
        <f t="shared" si="0"/>
        <v>1.0825317547305483E-3</v>
      </c>
      <c r="F31" s="5">
        <f t="shared" si="1"/>
        <v>1.8042195912175806E-4</v>
      </c>
      <c r="G31" s="5">
        <f t="shared" si="2"/>
        <v>7.1881000000000002E-3</v>
      </c>
      <c r="H31" s="5">
        <f t="shared" si="3"/>
        <v>6.4664125000000001E-3</v>
      </c>
      <c r="I31" s="5">
        <f t="shared" si="4"/>
        <v>6.6468350000000002E-3</v>
      </c>
      <c r="J31" s="5">
        <f t="shared" si="5"/>
        <v>7.6678750000000006E-4</v>
      </c>
      <c r="K31" s="5">
        <f t="shared" si="6"/>
        <v>6.7658750000000004E-4</v>
      </c>
      <c r="L31" s="5">
        <v>6.7999999999999996E-3</v>
      </c>
      <c r="M31" s="5">
        <f t="shared" si="7"/>
        <v>6.8272562500000002E-3</v>
      </c>
      <c r="N31" s="5">
        <f t="shared" si="8"/>
        <v>6.4664125000000001E-3</v>
      </c>
      <c r="O31" s="5">
        <f t="shared" si="9"/>
        <v>3.6608529868477632E-5</v>
      </c>
      <c r="P31" s="5">
        <f t="shared" si="9"/>
        <v>3.2841024136470552E-5</v>
      </c>
      <c r="Q31" s="132" t="s">
        <v>25</v>
      </c>
      <c r="R31" s="134">
        <f>IF(Q31="fine (H12)",0.0084,IF(Q31="medium (H13)",0.009,IF(Q31="coarse (H14)",0.01)))</f>
        <v>8.3999999999999995E-3</v>
      </c>
      <c r="S31" s="132">
        <v>1.2999999999999999E-2</v>
      </c>
      <c r="T31" s="136">
        <f t="shared" ref="T31" si="15">IF(S31="","",0.5*(R31+S31))</f>
        <v>1.0699999999999999E-2</v>
      </c>
      <c r="U31" s="5"/>
    </row>
    <row r="32" spans="2:65" x14ac:dyDescent="0.3">
      <c r="B32" s="130"/>
      <c r="C32" s="5">
        <v>8.0000000000000002E-3</v>
      </c>
      <c r="D32" s="5">
        <v>1E-3</v>
      </c>
      <c r="E32" s="5">
        <f t="shared" si="0"/>
        <v>8.6602540378443859E-4</v>
      </c>
      <c r="F32" s="5">
        <f t="shared" si="1"/>
        <v>1.4433756729740642E-4</v>
      </c>
      <c r="G32" s="5">
        <f t="shared" si="2"/>
        <v>7.3504800000000004E-3</v>
      </c>
      <c r="H32" s="5">
        <f t="shared" si="3"/>
        <v>6.7731300000000005E-3</v>
      </c>
      <c r="I32" s="5">
        <f t="shared" si="4"/>
        <v>6.9174680000000004E-3</v>
      </c>
      <c r="J32" s="5">
        <f t="shared" si="5"/>
        <v>6.1343000000000009E-4</v>
      </c>
      <c r="K32" s="5">
        <f t="shared" si="6"/>
        <v>5.4127000000000005E-4</v>
      </c>
      <c r="L32" s="5">
        <v>7.0000000000000001E-3</v>
      </c>
      <c r="M32" s="5">
        <f t="shared" si="7"/>
        <v>7.0618050000000009E-3</v>
      </c>
      <c r="N32" s="5">
        <f t="shared" si="8"/>
        <v>6.7731300000000005E-3</v>
      </c>
      <c r="O32" s="5">
        <f t="shared" si="9"/>
        <v>3.916709158479516E-5</v>
      </c>
      <c r="P32" s="5">
        <f t="shared" si="9"/>
        <v>3.6030368508890597E-5</v>
      </c>
      <c r="Q32" s="132"/>
      <c r="R32" s="134"/>
      <c r="S32" s="132"/>
      <c r="T32" s="136"/>
      <c r="U32" s="5"/>
    </row>
    <row r="33" spans="2:21" x14ac:dyDescent="0.3">
      <c r="B33" s="130"/>
      <c r="C33" s="5">
        <v>8.0000000000000002E-3</v>
      </c>
      <c r="D33" s="5">
        <v>7.5000000000000002E-4</v>
      </c>
      <c r="E33" s="5">
        <f t="shared" si="0"/>
        <v>6.4951905283832897E-4</v>
      </c>
      <c r="F33" s="5">
        <f t="shared" si="1"/>
        <v>1.0825317547305482E-4</v>
      </c>
      <c r="G33" s="5">
        <f t="shared" si="2"/>
        <v>7.5128600000000005E-3</v>
      </c>
      <c r="H33" s="5">
        <f t="shared" si="3"/>
        <v>7.0798475E-3</v>
      </c>
      <c r="I33" s="5">
        <f t="shared" si="4"/>
        <v>7.1881010000000006E-3</v>
      </c>
      <c r="J33" s="5">
        <f t="shared" si="5"/>
        <v>4.6007250000000002E-4</v>
      </c>
      <c r="K33" s="5">
        <f t="shared" si="6"/>
        <v>4.0595250000000001E-4</v>
      </c>
      <c r="L33" s="5">
        <v>7.4999999999999997E-3</v>
      </c>
      <c r="M33" s="5">
        <f t="shared" si="7"/>
        <v>7.2963537499999998E-3</v>
      </c>
      <c r="N33" s="5">
        <f t="shared" si="8"/>
        <v>7.0798475E-3</v>
      </c>
      <c r="O33" s="5">
        <f t="shared" si="9"/>
        <v>4.1812067701849815E-5</v>
      </c>
      <c r="P33" s="5">
        <f t="shared" si="9"/>
        <v>3.9367486527197224E-5</v>
      </c>
      <c r="Q33" s="132"/>
      <c r="R33" s="134"/>
      <c r="S33" s="132"/>
      <c r="T33" s="136"/>
      <c r="U33" s="5"/>
    </row>
    <row r="34" spans="2:21" x14ac:dyDescent="0.3">
      <c r="B34" s="130" t="s">
        <v>35</v>
      </c>
      <c r="C34" s="5">
        <v>0.01</v>
      </c>
      <c r="D34" s="5">
        <v>1.5E-3</v>
      </c>
      <c r="E34" s="5">
        <f t="shared" si="0"/>
        <v>1.2990381056766579E-3</v>
      </c>
      <c r="F34" s="5">
        <f t="shared" si="1"/>
        <v>2.1650635094610965E-4</v>
      </c>
      <c r="G34" s="5">
        <f t="shared" si="2"/>
        <v>9.025720000000001E-3</v>
      </c>
      <c r="H34" s="5">
        <f t="shared" si="3"/>
        <v>8.1596949999999998E-3</v>
      </c>
      <c r="I34" s="5">
        <f t="shared" si="4"/>
        <v>8.3762019999999993E-3</v>
      </c>
      <c r="J34" s="5">
        <f t="shared" si="5"/>
        <v>9.2014500000000003E-4</v>
      </c>
      <c r="K34" s="5">
        <f t="shared" si="6"/>
        <v>8.1190500000000003E-4</v>
      </c>
      <c r="L34" s="5">
        <v>8.5000000000000006E-3</v>
      </c>
      <c r="M34" s="5">
        <f t="shared" si="7"/>
        <v>8.5927075000000012E-3</v>
      </c>
      <c r="N34" s="5">
        <f t="shared" si="8"/>
        <v>8.1596949999999998E-3</v>
      </c>
      <c r="O34" s="5">
        <f t="shared" si="9"/>
        <v>5.7989576655753398E-5</v>
      </c>
      <c r="P34" s="5">
        <f t="shared" si="9"/>
        <v>5.2292298623880669E-5</v>
      </c>
      <c r="Q34" s="132" t="s">
        <v>25</v>
      </c>
      <c r="R34" s="134">
        <f>IF(Q34="fine (H12)",0.0105,IF(Q34="medium (H13)",0.011,IF(Q34="coarse (H14)",0.012)))</f>
        <v>1.0500000000000001E-2</v>
      </c>
      <c r="S34" s="138">
        <v>1.6E-2</v>
      </c>
      <c r="T34" s="136">
        <f>IF(S34="","",0.5*(R34+S34))</f>
        <v>1.3250000000000001E-2</v>
      </c>
    </row>
    <row r="35" spans="2:21" x14ac:dyDescent="0.3">
      <c r="B35" s="130"/>
      <c r="C35" s="5">
        <v>0.01</v>
      </c>
      <c r="D35" s="5">
        <v>1.25E-3</v>
      </c>
      <c r="E35" s="5">
        <f t="shared" si="0"/>
        <v>1.0825317547305483E-3</v>
      </c>
      <c r="F35" s="5">
        <f t="shared" si="1"/>
        <v>1.8042195912175806E-4</v>
      </c>
      <c r="G35" s="5">
        <f t="shared" si="2"/>
        <v>9.1881000000000011E-3</v>
      </c>
      <c r="H35" s="5">
        <f t="shared" si="3"/>
        <v>8.466412500000001E-3</v>
      </c>
      <c r="I35" s="5">
        <f t="shared" si="4"/>
        <v>8.6468350000000003E-3</v>
      </c>
      <c r="J35" s="5">
        <f t="shared" si="5"/>
        <v>7.6678750000000006E-4</v>
      </c>
      <c r="K35" s="5">
        <f t="shared" si="6"/>
        <v>6.7658750000000004E-4</v>
      </c>
      <c r="L35" s="5">
        <v>8.7500000000000008E-3</v>
      </c>
      <c r="M35" s="5">
        <f t="shared" si="7"/>
        <v>8.8272562500000019E-3</v>
      </c>
      <c r="N35" s="5">
        <f t="shared" si="8"/>
        <v>8.466412500000001E-3</v>
      </c>
      <c r="O35" s="5">
        <f t="shared" si="9"/>
        <v>6.119858060124245E-5</v>
      </c>
      <c r="P35" s="5">
        <f t="shared" si="9"/>
        <v>5.6297450795141565E-5</v>
      </c>
      <c r="Q35" s="132"/>
      <c r="R35" s="134"/>
      <c r="S35" s="138"/>
      <c r="T35" s="136"/>
    </row>
    <row r="36" spans="2:21" x14ac:dyDescent="0.3">
      <c r="B36" s="130"/>
      <c r="C36" s="5">
        <v>0.01</v>
      </c>
      <c r="D36" s="5">
        <v>1E-3</v>
      </c>
      <c r="E36" s="5">
        <f t="shared" si="0"/>
        <v>8.6602540378443859E-4</v>
      </c>
      <c r="F36" s="5">
        <f t="shared" si="1"/>
        <v>1.4433756729740642E-4</v>
      </c>
      <c r="G36" s="5">
        <f t="shared" si="2"/>
        <v>9.3504799999999996E-3</v>
      </c>
      <c r="H36" s="5">
        <f t="shared" si="3"/>
        <v>8.7731300000000005E-3</v>
      </c>
      <c r="I36" s="5">
        <f t="shared" si="4"/>
        <v>8.9174679999999996E-3</v>
      </c>
      <c r="J36" s="5">
        <f t="shared" si="5"/>
        <v>6.1343000000000009E-4</v>
      </c>
      <c r="K36" s="5">
        <f t="shared" si="6"/>
        <v>5.4127000000000005E-4</v>
      </c>
      <c r="L36" s="5">
        <v>8.9999999999999993E-3</v>
      </c>
      <c r="M36" s="5">
        <f t="shared" si="7"/>
        <v>9.0618049999999992E-3</v>
      </c>
      <c r="N36" s="5">
        <f t="shared" si="8"/>
        <v>8.7731300000000005E-3</v>
      </c>
      <c r="O36" s="5">
        <f t="shared" si="9"/>
        <v>6.4493998947468589E-5</v>
      </c>
      <c r="P36" s="5">
        <f t="shared" si="9"/>
        <v>6.0450376612289022E-5</v>
      </c>
      <c r="Q36" s="132"/>
      <c r="R36" s="134"/>
      <c r="S36" s="138"/>
      <c r="T36" s="136"/>
    </row>
    <row r="37" spans="2:21" x14ac:dyDescent="0.3">
      <c r="B37" s="130"/>
      <c r="C37" s="5">
        <v>0.01</v>
      </c>
      <c r="D37" s="5">
        <v>7.5000000000000002E-4</v>
      </c>
      <c r="E37" s="5">
        <f t="shared" si="0"/>
        <v>6.4951905283832897E-4</v>
      </c>
      <c r="F37" s="5">
        <f t="shared" si="1"/>
        <v>1.0825317547305482E-4</v>
      </c>
      <c r="G37" s="5">
        <f t="shared" si="2"/>
        <v>9.5128599999999997E-3</v>
      </c>
      <c r="H37" s="5">
        <f t="shared" si="3"/>
        <v>9.0798475E-3</v>
      </c>
      <c r="I37" s="5">
        <f t="shared" si="4"/>
        <v>9.1881010000000006E-3</v>
      </c>
      <c r="J37" s="5">
        <f t="shared" si="5"/>
        <v>4.6007250000000002E-4</v>
      </c>
      <c r="K37" s="5">
        <f t="shared" si="6"/>
        <v>4.0595250000000001E-4</v>
      </c>
      <c r="L37" s="5">
        <v>9.2499999999999995E-3</v>
      </c>
      <c r="M37" s="5">
        <f t="shared" si="7"/>
        <v>9.2963537499999999E-3</v>
      </c>
      <c r="N37" s="5">
        <f t="shared" si="8"/>
        <v>9.0798475E-3</v>
      </c>
      <c r="O37" s="5">
        <f t="shared" si="9"/>
        <v>6.7875831694431949E-5</v>
      </c>
      <c r="P37" s="5">
        <f t="shared" si="9"/>
        <v>6.4751076075323088E-5</v>
      </c>
      <c r="Q37" s="132"/>
      <c r="R37" s="134"/>
      <c r="S37" s="138"/>
      <c r="T37" s="136"/>
    </row>
    <row r="38" spans="2:21" x14ac:dyDescent="0.3">
      <c r="B38" s="130" t="s">
        <v>36</v>
      </c>
      <c r="C38" s="5">
        <v>1.2E-2</v>
      </c>
      <c r="D38" s="5">
        <v>1.75E-3</v>
      </c>
      <c r="E38" s="5">
        <f t="shared" si="0"/>
        <v>1.5155444566227676E-3</v>
      </c>
      <c r="F38" s="5">
        <f t="shared" si="1"/>
        <v>2.5259074277046126E-4</v>
      </c>
      <c r="G38" s="5">
        <f t="shared" si="2"/>
        <v>1.0863340000000001E-2</v>
      </c>
      <c r="H38" s="5">
        <f t="shared" si="3"/>
        <v>9.8529775000000003E-3</v>
      </c>
      <c r="I38" s="5">
        <f t="shared" si="4"/>
        <v>1.0105569E-2</v>
      </c>
      <c r="J38" s="5">
        <f t="shared" si="5"/>
        <v>1.0735025E-3</v>
      </c>
      <c r="K38" s="5">
        <f t="shared" si="6"/>
        <v>9.4722250000000012E-4</v>
      </c>
      <c r="L38" s="5">
        <v>1.0200000000000001E-2</v>
      </c>
      <c r="M38" s="5">
        <f t="shared" si="7"/>
        <v>1.0358158750000001E-2</v>
      </c>
      <c r="N38" s="5">
        <f t="shared" si="8"/>
        <v>9.8529775000000003E-3</v>
      </c>
      <c r="O38" s="5">
        <f t="shared" si="9"/>
        <v>8.4266509891128529E-5</v>
      </c>
      <c r="P38" s="5">
        <f t="shared" si="9"/>
        <v>7.6247369174902119E-5</v>
      </c>
      <c r="Q38" s="132" t="s">
        <v>25</v>
      </c>
      <c r="R38" s="134">
        <f>IF(Q38="fine (H12)",0.013,IF(Q38="medium (H13)",0.0135,IF(Q38="coarse (H14)",0.0145)))</f>
        <v>1.2999999999999999E-2</v>
      </c>
      <c r="S38" s="132">
        <v>1.7999999999999999E-2</v>
      </c>
      <c r="T38" s="136">
        <f t="shared" ref="T38" si="16">IF(S38="","",0.5*(R38+S38))</f>
        <v>1.55E-2</v>
      </c>
    </row>
    <row r="39" spans="2:21" x14ac:dyDescent="0.3">
      <c r="B39" s="130"/>
      <c r="C39" s="5">
        <v>1.2E-2</v>
      </c>
      <c r="D39" s="5">
        <v>1.5E-3</v>
      </c>
      <c r="E39" s="5">
        <f t="shared" si="0"/>
        <v>1.2990381056766579E-3</v>
      </c>
      <c r="F39" s="5">
        <f t="shared" si="1"/>
        <v>2.1650635094610965E-4</v>
      </c>
      <c r="G39" s="5">
        <f t="shared" si="2"/>
        <v>1.1025720000000001E-2</v>
      </c>
      <c r="H39" s="5">
        <f t="shared" si="3"/>
        <v>1.0159695E-2</v>
      </c>
      <c r="I39" s="5">
        <f t="shared" si="4"/>
        <v>1.0376202000000001E-2</v>
      </c>
      <c r="J39" s="5">
        <f t="shared" si="5"/>
        <v>9.2014500000000003E-4</v>
      </c>
      <c r="K39" s="5">
        <f t="shared" si="6"/>
        <v>8.1190500000000003E-4</v>
      </c>
      <c r="L39" s="5">
        <v>1.0500000000000001E-2</v>
      </c>
      <c r="M39" s="5">
        <f t="shared" si="7"/>
        <v>1.05927075E-2</v>
      </c>
      <c r="N39" s="5">
        <f t="shared" si="8"/>
        <v>1.0159695E-2</v>
      </c>
      <c r="O39" s="5">
        <f t="shared" si="9"/>
        <v>8.8125956065789079E-5</v>
      </c>
      <c r="P39" s="5">
        <f t="shared" si="9"/>
        <v>8.1068329145003831E-5</v>
      </c>
      <c r="Q39" s="132"/>
      <c r="R39" s="134"/>
      <c r="S39" s="132"/>
      <c r="T39" s="136"/>
    </row>
    <row r="40" spans="2:21" x14ac:dyDescent="0.3">
      <c r="B40" s="130"/>
      <c r="C40" s="5">
        <v>1.2E-2</v>
      </c>
      <c r="D40" s="5">
        <v>1.25E-3</v>
      </c>
      <c r="E40" s="5">
        <f t="shared" si="0"/>
        <v>1.0825317547305483E-3</v>
      </c>
      <c r="F40" s="5">
        <f t="shared" si="1"/>
        <v>1.8042195912175806E-4</v>
      </c>
      <c r="G40" s="5">
        <f t="shared" si="2"/>
        <v>1.1188099999999999E-2</v>
      </c>
      <c r="H40" s="5">
        <f t="shared" si="3"/>
        <v>1.0466412500000001E-2</v>
      </c>
      <c r="I40" s="5">
        <f t="shared" si="4"/>
        <v>1.0646835E-2</v>
      </c>
      <c r="J40" s="5">
        <f t="shared" si="5"/>
        <v>7.6678750000000006E-4</v>
      </c>
      <c r="K40" s="5">
        <f t="shared" si="6"/>
        <v>6.7658750000000004E-4</v>
      </c>
      <c r="L40" s="5">
        <v>1.0749999999999999E-2</v>
      </c>
      <c r="M40" s="5">
        <f t="shared" si="7"/>
        <v>1.082725625E-2</v>
      </c>
      <c r="N40" s="5">
        <f t="shared" si="8"/>
        <v>1.0466412500000001E-2</v>
      </c>
      <c r="O40" s="5">
        <f t="shared" si="9"/>
        <v>9.2071816641186796E-5</v>
      </c>
      <c r="P40" s="5">
        <f t="shared" si="9"/>
        <v>8.6037062760992153E-5</v>
      </c>
      <c r="Q40" s="132"/>
      <c r="R40" s="134"/>
      <c r="S40" s="132"/>
      <c r="T40" s="136"/>
    </row>
    <row r="41" spans="2:21" x14ac:dyDescent="0.3">
      <c r="B41" s="130"/>
      <c r="C41" s="5">
        <v>1.2E-2</v>
      </c>
      <c r="D41" s="5">
        <v>1E-3</v>
      </c>
      <c r="E41" s="5">
        <f t="shared" si="0"/>
        <v>8.6602540378443859E-4</v>
      </c>
      <c r="F41" s="5">
        <f t="shared" si="1"/>
        <v>1.4433756729740642E-4</v>
      </c>
      <c r="G41" s="5">
        <f t="shared" si="2"/>
        <v>1.135048E-2</v>
      </c>
      <c r="H41" s="5">
        <f t="shared" si="3"/>
        <v>1.0773130000000001E-2</v>
      </c>
      <c r="I41" s="5">
        <f t="shared" si="4"/>
        <v>1.0917468E-2</v>
      </c>
      <c r="J41" s="5">
        <f t="shared" si="5"/>
        <v>6.1343000000000009E-4</v>
      </c>
      <c r="K41" s="5">
        <f t="shared" si="6"/>
        <v>5.4127000000000005E-4</v>
      </c>
      <c r="L41" s="5">
        <v>1.0999999999999999E-2</v>
      </c>
      <c r="M41" s="5">
        <f t="shared" si="7"/>
        <v>1.1061805000000001E-2</v>
      </c>
      <c r="N41" s="5">
        <f t="shared" si="8"/>
        <v>1.0773130000000001E-2</v>
      </c>
      <c r="O41" s="5">
        <f t="shared" si="9"/>
        <v>9.610409161732168E-5</v>
      </c>
      <c r="P41" s="5">
        <f t="shared" si="9"/>
        <v>9.1153570022867042E-5</v>
      </c>
      <c r="Q41" s="132"/>
      <c r="R41" s="134"/>
      <c r="S41" s="132"/>
      <c r="T41" s="136"/>
    </row>
    <row r="42" spans="2:21" x14ac:dyDescent="0.3">
      <c r="B42" s="130" t="s">
        <v>37</v>
      </c>
      <c r="C42" s="5">
        <v>1.4E-2</v>
      </c>
      <c r="D42" s="5">
        <v>2E-3</v>
      </c>
      <c r="E42" s="5">
        <f t="shared" si="0"/>
        <v>1.7320508075688772E-3</v>
      </c>
      <c r="F42" s="5">
        <f t="shared" si="1"/>
        <v>2.8867513459481284E-4</v>
      </c>
      <c r="G42" s="5">
        <f t="shared" si="2"/>
        <v>1.2700960000000001E-2</v>
      </c>
      <c r="H42" s="5">
        <f t="shared" si="3"/>
        <v>1.1546260000000001E-2</v>
      </c>
      <c r="I42" s="5">
        <f t="shared" si="4"/>
        <v>1.1834936000000001E-2</v>
      </c>
      <c r="J42" s="5">
        <f t="shared" si="5"/>
        <v>1.2268600000000002E-3</v>
      </c>
      <c r="K42" s="5">
        <f t="shared" si="6"/>
        <v>1.0825400000000001E-3</v>
      </c>
      <c r="L42" s="5">
        <v>1.2E-2</v>
      </c>
      <c r="M42" s="5">
        <f t="shared" si="7"/>
        <v>1.212361E-2</v>
      </c>
      <c r="N42" s="5">
        <f t="shared" si="8"/>
        <v>1.1546260000000001E-2</v>
      </c>
      <c r="O42" s="5">
        <f t="shared" si="9"/>
        <v>1.1543932957460306E-4</v>
      </c>
      <c r="P42" s="5">
        <f t="shared" si="9"/>
        <v>1.0470623578953489E-4</v>
      </c>
      <c r="Q42" s="132" t="s">
        <v>25</v>
      </c>
      <c r="R42" s="134">
        <f>IF(Q42="fine (H12)",0.015,IF(Q42="medium (H13)",0.0155,IF(Q42="coarse (H14)",0.0165)))</f>
        <v>1.4999999999999999E-2</v>
      </c>
      <c r="S42" s="132">
        <v>2.1000000000000001E-2</v>
      </c>
      <c r="T42" s="136">
        <f t="shared" ref="T42" si="17">IF(S42="","",0.5*(R42+S42))</f>
        <v>1.8000000000000002E-2</v>
      </c>
    </row>
    <row r="43" spans="2:21" x14ac:dyDescent="0.3">
      <c r="B43" s="130"/>
      <c r="C43" s="5">
        <v>1.4E-2</v>
      </c>
      <c r="D43" s="5">
        <v>1.5E-3</v>
      </c>
      <c r="E43" s="5">
        <f t="shared" si="0"/>
        <v>1.2990381056766579E-3</v>
      </c>
      <c r="F43" s="5">
        <f t="shared" si="1"/>
        <v>2.1650635094610965E-4</v>
      </c>
      <c r="G43" s="5">
        <f t="shared" si="2"/>
        <v>1.3025720000000001E-2</v>
      </c>
      <c r="H43" s="5">
        <f t="shared" si="3"/>
        <v>1.2159695E-2</v>
      </c>
      <c r="I43" s="5">
        <f t="shared" si="4"/>
        <v>1.2376201999999999E-2</v>
      </c>
      <c r="J43" s="5">
        <f t="shared" si="5"/>
        <v>9.2014500000000003E-4</v>
      </c>
      <c r="K43" s="5">
        <f t="shared" si="6"/>
        <v>8.1190500000000003E-4</v>
      </c>
      <c r="L43" s="5">
        <v>1.2500000000000001E-2</v>
      </c>
      <c r="M43" s="5">
        <f t="shared" si="7"/>
        <v>1.2592707500000001E-2</v>
      </c>
      <c r="N43" s="5">
        <f t="shared" si="8"/>
        <v>1.2159695E-2</v>
      </c>
      <c r="O43" s="5">
        <f t="shared" si="9"/>
        <v>1.2454552078300439E-4</v>
      </c>
      <c r="P43" s="5">
        <f t="shared" si="9"/>
        <v>1.1612754497330656E-4</v>
      </c>
      <c r="Q43" s="132"/>
      <c r="R43" s="134"/>
      <c r="S43" s="132"/>
      <c r="T43" s="136"/>
    </row>
    <row r="44" spans="2:21" x14ac:dyDescent="0.3">
      <c r="B44" s="130"/>
      <c r="C44" s="5">
        <v>1.4E-2</v>
      </c>
      <c r="D44" s="5">
        <v>1.25E-3</v>
      </c>
      <c r="E44" s="5">
        <f t="shared" si="0"/>
        <v>1.0825317547305483E-3</v>
      </c>
      <c r="F44" s="5">
        <f t="shared" si="1"/>
        <v>1.8042195912175806E-4</v>
      </c>
      <c r="G44" s="5">
        <f t="shared" si="2"/>
        <v>1.3188100000000001E-2</v>
      </c>
      <c r="H44" s="5">
        <f t="shared" si="3"/>
        <v>1.2466412500000001E-2</v>
      </c>
      <c r="I44" s="5">
        <f t="shared" si="4"/>
        <v>1.2646835E-2</v>
      </c>
      <c r="J44" s="5">
        <f t="shared" si="5"/>
        <v>7.6678750000000006E-4</v>
      </c>
      <c r="K44" s="5">
        <f t="shared" si="6"/>
        <v>6.7658750000000004E-4</v>
      </c>
      <c r="L44" s="5">
        <v>1.2749999999999999E-2</v>
      </c>
      <c r="M44" s="5">
        <f t="shared" si="7"/>
        <v>1.2827256250000002E-2</v>
      </c>
      <c r="N44" s="5">
        <f t="shared" si="8"/>
        <v>1.2466412500000001E-2</v>
      </c>
      <c r="O44" s="5">
        <f t="shared" si="9"/>
        <v>1.2922823798831081E-4</v>
      </c>
      <c r="P44" s="5">
        <f t="shared" si="9"/>
        <v>1.2205986003402233E-4</v>
      </c>
      <c r="Q44" s="132"/>
      <c r="R44" s="134"/>
      <c r="S44" s="132"/>
      <c r="T44" s="136"/>
    </row>
    <row r="45" spans="2:21" x14ac:dyDescent="0.3">
      <c r="B45" s="130"/>
      <c r="C45" s="5">
        <v>1.4E-2</v>
      </c>
      <c r="D45" s="5">
        <v>1E-3</v>
      </c>
      <c r="E45" s="5">
        <f t="shared" si="0"/>
        <v>8.6602540378443859E-4</v>
      </c>
      <c r="F45" s="5">
        <f t="shared" si="1"/>
        <v>1.4433756729740642E-4</v>
      </c>
      <c r="G45" s="5">
        <f t="shared" si="2"/>
        <v>1.335048E-2</v>
      </c>
      <c r="H45" s="5">
        <f t="shared" si="3"/>
        <v>1.2773130000000001E-2</v>
      </c>
      <c r="I45" s="5">
        <f t="shared" si="4"/>
        <v>1.2917468E-2</v>
      </c>
      <c r="J45" s="5">
        <f t="shared" si="5"/>
        <v>6.1343000000000009E-4</v>
      </c>
      <c r="K45" s="5">
        <f t="shared" si="6"/>
        <v>5.4127000000000005E-4</v>
      </c>
      <c r="L45" s="5">
        <v>1.2999999999999999E-2</v>
      </c>
      <c r="M45" s="5">
        <f t="shared" si="7"/>
        <v>1.3061804999999999E-2</v>
      </c>
      <c r="N45" s="5">
        <f t="shared" si="8"/>
        <v>1.2773130000000001E-2</v>
      </c>
      <c r="O45" s="5">
        <f t="shared" si="9"/>
        <v>1.3399736959435426E-4</v>
      </c>
      <c r="P45" s="5">
        <f t="shared" si="9"/>
        <v>1.2813994874062465E-4</v>
      </c>
      <c r="Q45" s="132"/>
      <c r="R45" s="134"/>
      <c r="S45" s="132"/>
      <c r="T45" s="136"/>
    </row>
    <row r="46" spans="2:21" x14ac:dyDescent="0.3">
      <c r="B46" s="130" t="s">
        <v>38</v>
      </c>
      <c r="C46" s="5">
        <v>1.6E-2</v>
      </c>
      <c r="D46" s="5">
        <v>2E-3</v>
      </c>
      <c r="E46" s="5">
        <f t="shared" si="0"/>
        <v>1.7320508075688772E-3</v>
      </c>
      <c r="F46" s="5">
        <f t="shared" si="1"/>
        <v>2.8867513459481284E-4</v>
      </c>
      <c r="G46" s="5">
        <f t="shared" si="2"/>
        <v>1.4700960000000001E-2</v>
      </c>
      <c r="H46" s="5">
        <f t="shared" si="3"/>
        <v>1.3546260000000001E-2</v>
      </c>
      <c r="I46" s="5">
        <f t="shared" si="4"/>
        <v>1.3834936000000001E-2</v>
      </c>
      <c r="J46" s="5">
        <f t="shared" si="5"/>
        <v>1.2268600000000002E-3</v>
      </c>
      <c r="K46" s="5">
        <f t="shared" si="6"/>
        <v>1.0825400000000001E-3</v>
      </c>
      <c r="L46" s="5">
        <v>1.4E-2</v>
      </c>
      <c r="M46" s="5">
        <f t="shared" si="7"/>
        <v>1.4123610000000002E-2</v>
      </c>
      <c r="N46" s="5">
        <f t="shared" si="8"/>
        <v>1.3546260000000001E-2</v>
      </c>
      <c r="O46" s="5">
        <f t="shared" si="9"/>
        <v>1.5666836633918064E-4</v>
      </c>
      <c r="P46" s="5">
        <f t="shared" si="9"/>
        <v>1.4412147403556239E-4</v>
      </c>
      <c r="Q46" s="132" t="s">
        <v>25</v>
      </c>
      <c r="R46" s="134">
        <f>IF(Q46="fine (H12)",0.017,IF(Q46="medium (H13)",0.0175,IF(Q46="coarse (H14)",0.0185)))</f>
        <v>1.7000000000000001E-2</v>
      </c>
      <c r="S46" s="132">
        <v>2.4E-2</v>
      </c>
      <c r="T46" s="136">
        <f>IF(S46="","",0.5*(R46+S46))</f>
        <v>2.0500000000000001E-2</v>
      </c>
    </row>
    <row r="47" spans="2:21" x14ac:dyDescent="0.3">
      <c r="B47" s="130"/>
      <c r="C47" s="5">
        <v>1.6E-2</v>
      </c>
      <c r="D47" s="5">
        <v>1.5E-3</v>
      </c>
      <c r="E47" s="5">
        <f t="shared" si="0"/>
        <v>1.2990381056766579E-3</v>
      </c>
      <c r="F47" s="5">
        <f t="shared" si="1"/>
        <v>2.1650635094610965E-4</v>
      </c>
      <c r="G47" s="5">
        <f t="shared" si="2"/>
        <v>1.5025720000000001E-2</v>
      </c>
      <c r="H47" s="5">
        <f t="shared" si="3"/>
        <v>1.4159695E-2</v>
      </c>
      <c r="I47" s="5">
        <f t="shared" si="4"/>
        <v>1.4376202000000001E-2</v>
      </c>
      <c r="J47" s="5">
        <f t="shared" si="5"/>
        <v>9.2014500000000003E-4</v>
      </c>
      <c r="K47" s="5">
        <f t="shared" si="6"/>
        <v>8.1190500000000003E-4</v>
      </c>
      <c r="L47" s="5">
        <v>1.4500000000000001E-2</v>
      </c>
      <c r="M47" s="5">
        <f t="shared" si="7"/>
        <v>1.45927075E-2</v>
      </c>
      <c r="N47" s="5">
        <f t="shared" si="8"/>
        <v>1.4159695E-2</v>
      </c>
      <c r="O47" s="5">
        <f t="shared" si="9"/>
        <v>1.6724827080739926E-4</v>
      </c>
      <c r="P47" s="5">
        <f t="shared" si="9"/>
        <v>1.5746994610878889E-4</v>
      </c>
      <c r="Q47" s="132"/>
      <c r="R47" s="134"/>
      <c r="S47" s="132"/>
      <c r="T47" s="136"/>
    </row>
    <row r="48" spans="2:21" x14ac:dyDescent="0.3">
      <c r="B48" s="130"/>
      <c r="C48" s="5">
        <v>1.6E-2</v>
      </c>
      <c r="D48" s="5">
        <v>1E-3</v>
      </c>
      <c r="E48" s="5">
        <f t="shared" si="0"/>
        <v>8.6602540378443859E-4</v>
      </c>
      <c r="F48" s="5">
        <f t="shared" si="1"/>
        <v>1.4433756729740642E-4</v>
      </c>
      <c r="G48" s="5">
        <f t="shared" si="2"/>
        <v>1.535048E-2</v>
      </c>
      <c r="H48" s="5">
        <f t="shared" si="3"/>
        <v>1.4773130000000001E-2</v>
      </c>
      <c r="I48" s="5">
        <f t="shared" si="4"/>
        <v>1.4917468E-2</v>
      </c>
      <c r="J48" s="5">
        <f t="shared" si="5"/>
        <v>6.1343000000000009E-4</v>
      </c>
      <c r="K48" s="5">
        <f t="shared" si="6"/>
        <v>5.4127000000000005E-4</v>
      </c>
      <c r="L48" s="5">
        <v>1.4999999999999999E-2</v>
      </c>
      <c r="M48" s="5">
        <f t="shared" si="7"/>
        <v>1.5061805000000001E-2</v>
      </c>
      <c r="N48" s="5">
        <f t="shared" si="8"/>
        <v>1.4773130000000001E-2</v>
      </c>
      <c r="O48" s="5">
        <f t="shared" si="9"/>
        <v>1.7817383287856655E-4</v>
      </c>
      <c r="P48" s="5">
        <f t="shared" si="9"/>
        <v>1.7140951276556183E-4</v>
      </c>
      <c r="Q48" s="132"/>
      <c r="R48" s="134"/>
      <c r="S48" s="132"/>
      <c r="T48" s="136"/>
    </row>
    <row r="49" spans="2:20" x14ac:dyDescent="0.3">
      <c r="B49" s="130" t="s">
        <v>39</v>
      </c>
      <c r="C49" s="5">
        <v>1.7999999999999999E-2</v>
      </c>
      <c r="D49" s="5">
        <v>2.5000000000000001E-3</v>
      </c>
      <c r="E49" s="5">
        <f t="shared" si="0"/>
        <v>2.1650635094610966E-3</v>
      </c>
      <c r="F49" s="5">
        <f t="shared" si="1"/>
        <v>3.6084391824351612E-4</v>
      </c>
      <c r="G49" s="5">
        <f t="shared" si="2"/>
        <v>1.63762E-2</v>
      </c>
      <c r="H49" s="5">
        <f t="shared" si="3"/>
        <v>1.4932824999999999E-2</v>
      </c>
      <c r="I49" s="5">
        <f t="shared" si="4"/>
        <v>1.5293669999999999E-2</v>
      </c>
      <c r="J49" s="5">
        <f t="shared" si="5"/>
        <v>1.5335750000000001E-3</v>
      </c>
      <c r="K49" s="5">
        <f t="shared" si="6"/>
        <v>1.3531750000000001E-3</v>
      </c>
      <c r="L49" s="5">
        <v>1.55E-2</v>
      </c>
      <c r="M49" s="5">
        <f t="shared" si="7"/>
        <v>1.5654512499999999E-2</v>
      </c>
      <c r="N49" s="5">
        <f t="shared" si="8"/>
        <v>1.4932824999999999E-2</v>
      </c>
      <c r="O49" s="5">
        <f t="shared" si="9"/>
        <v>1.9247262828585028E-4</v>
      </c>
      <c r="P49" s="5">
        <f t="shared" si="9"/>
        <v>1.7513535720963436E-4</v>
      </c>
      <c r="Q49" s="132" t="s">
        <v>25</v>
      </c>
      <c r="R49" s="134">
        <f>IF(Q49="fine (H12)",0.019,IF(Q49="medium (H13)",0.02,IF(Q49="coarse (H14)",0.021)))</f>
        <v>1.9E-2</v>
      </c>
      <c r="S49" s="132"/>
      <c r="T49" s="136" t="str">
        <f>IF(S49="","",0.5*(R49+S49))</f>
        <v/>
      </c>
    </row>
    <row r="50" spans="2:20" x14ac:dyDescent="0.3">
      <c r="B50" s="130"/>
      <c r="C50" s="5">
        <v>1.7999999999999999E-2</v>
      </c>
      <c r="D50" s="5">
        <v>2E-3</v>
      </c>
      <c r="E50" s="5">
        <f t="shared" si="0"/>
        <v>1.7320508075688772E-3</v>
      </c>
      <c r="F50" s="5">
        <f t="shared" si="1"/>
        <v>2.8867513459481284E-4</v>
      </c>
      <c r="G50" s="5">
        <f t="shared" si="2"/>
        <v>1.6700959999999997E-2</v>
      </c>
      <c r="H50" s="5">
        <f t="shared" si="3"/>
        <v>1.5546259999999999E-2</v>
      </c>
      <c r="I50" s="5">
        <f t="shared" si="4"/>
        <v>1.5834935999999997E-2</v>
      </c>
      <c r="J50" s="5">
        <f t="shared" si="5"/>
        <v>1.2268600000000002E-3</v>
      </c>
      <c r="K50" s="5">
        <f t="shared" si="6"/>
        <v>1.0825400000000001E-3</v>
      </c>
      <c r="L50" s="5">
        <v>1.6E-2</v>
      </c>
      <c r="M50" s="5">
        <f t="shared" si="7"/>
        <v>1.6123609999999997E-2</v>
      </c>
      <c r="N50" s="5">
        <f t="shared" si="8"/>
        <v>1.5546259999999999E-2</v>
      </c>
      <c r="O50" s="5">
        <f t="shared" si="9"/>
        <v>2.0418058841093764E-4</v>
      </c>
      <c r="P50" s="5">
        <f t="shared" si="9"/>
        <v>1.898198975887694E-4</v>
      </c>
      <c r="Q50" s="132"/>
      <c r="R50" s="134"/>
      <c r="S50" s="132"/>
      <c r="T50" s="136"/>
    </row>
    <row r="51" spans="2:20" x14ac:dyDescent="0.3">
      <c r="B51" s="130"/>
      <c r="C51" s="5">
        <v>1.7999999999999999E-2</v>
      </c>
      <c r="D51" s="5">
        <v>1.5E-3</v>
      </c>
      <c r="E51" s="5">
        <f t="shared" si="0"/>
        <v>1.2990381056766579E-3</v>
      </c>
      <c r="F51" s="5">
        <f t="shared" si="1"/>
        <v>2.1650635094610965E-4</v>
      </c>
      <c r="G51" s="5">
        <f t="shared" si="2"/>
        <v>1.7025719999999998E-2</v>
      </c>
      <c r="H51" s="5">
        <f t="shared" si="3"/>
        <v>1.6159694999999998E-2</v>
      </c>
      <c r="I51" s="5">
        <f t="shared" si="4"/>
        <v>1.6376201999999999E-2</v>
      </c>
      <c r="J51" s="5">
        <f t="shared" si="5"/>
        <v>9.2014500000000003E-4</v>
      </c>
      <c r="K51" s="5">
        <f t="shared" si="6"/>
        <v>8.1190500000000003E-4</v>
      </c>
      <c r="L51" s="5">
        <v>1.6500000000000001E-2</v>
      </c>
      <c r="M51" s="5">
        <f t="shared" si="7"/>
        <v>1.6592707499999998E-2</v>
      </c>
      <c r="N51" s="5">
        <f t="shared" si="8"/>
        <v>1.6159694999999998E-2</v>
      </c>
      <c r="O51" s="5">
        <f t="shared" si="9"/>
        <v>2.1623420613897369E-4</v>
      </c>
      <c r="P51" s="5">
        <f t="shared" si="9"/>
        <v>2.0509553255145077E-4</v>
      </c>
      <c r="Q51" s="132"/>
      <c r="R51" s="134"/>
      <c r="S51" s="132"/>
      <c r="T51" s="136"/>
    </row>
    <row r="52" spans="2:20" x14ac:dyDescent="0.3">
      <c r="B52" s="130"/>
      <c r="C52" s="5">
        <v>1.7999999999999999E-2</v>
      </c>
      <c r="D52" s="5">
        <v>1E-3</v>
      </c>
      <c r="E52" s="5">
        <f t="shared" si="0"/>
        <v>8.6602540378443859E-4</v>
      </c>
      <c r="F52" s="5">
        <f t="shared" si="1"/>
        <v>1.4433756729740642E-4</v>
      </c>
      <c r="G52" s="5">
        <f t="shared" si="2"/>
        <v>1.7350479999999998E-2</v>
      </c>
      <c r="H52" s="5">
        <f t="shared" si="3"/>
        <v>1.6773129999999997E-2</v>
      </c>
      <c r="I52" s="5">
        <f t="shared" si="4"/>
        <v>1.6917467999999998E-2</v>
      </c>
      <c r="J52" s="5">
        <f t="shared" si="5"/>
        <v>6.1343000000000009E-4</v>
      </c>
      <c r="K52" s="5">
        <f t="shared" si="6"/>
        <v>5.4127000000000005E-4</v>
      </c>
      <c r="L52" s="5">
        <v>1.7000000000000001E-2</v>
      </c>
      <c r="M52" s="5">
        <f t="shared" si="7"/>
        <v>1.7061804999999999E-2</v>
      </c>
      <c r="N52" s="5">
        <f t="shared" si="8"/>
        <v>1.6773129999999997E-2</v>
      </c>
      <c r="O52" s="5">
        <f t="shared" si="9"/>
        <v>2.2863348146995831E-4</v>
      </c>
      <c r="P52" s="5">
        <f t="shared" si="9"/>
        <v>2.2096226209767852E-4</v>
      </c>
      <c r="Q52" s="132"/>
      <c r="R52" s="134"/>
      <c r="S52" s="132"/>
      <c r="T52" s="136"/>
    </row>
    <row r="53" spans="2:20" x14ac:dyDescent="0.3">
      <c r="B53" s="130" t="s">
        <v>40</v>
      </c>
      <c r="C53" s="5">
        <v>0.02</v>
      </c>
      <c r="D53" s="5">
        <v>2.5000000000000001E-3</v>
      </c>
      <c r="E53" s="5">
        <f t="shared" si="0"/>
        <v>2.1650635094610966E-3</v>
      </c>
      <c r="F53" s="5">
        <f t="shared" si="1"/>
        <v>3.6084391824351612E-4</v>
      </c>
      <c r="G53" s="5">
        <f t="shared" si="2"/>
        <v>1.8376200000000002E-2</v>
      </c>
      <c r="H53" s="5">
        <f t="shared" si="3"/>
        <v>1.6932825000000002E-2</v>
      </c>
      <c r="I53" s="5">
        <f t="shared" si="4"/>
        <v>1.7293670000000001E-2</v>
      </c>
      <c r="J53" s="5">
        <f t="shared" si="5"/>
        <v>1.5335750000000001E-3</v>
      </c>
      <c r="K53" s="5">
        <f t="shared" si="6"/>
        <v>1.3531750000000001E-3</v>
      </c>
      <c r="L53" s="5">
        <v>1.7500000000000002E-2</v>
      </c>
      <c r="M53" s="5">
        <f t="shared" si="7"/>
        <v>1.7654512500000004E-2</v>
      </c>
      <c r="N53" s="5">
        <f t="shared" si="8"/>
        <v>1.6932825000000002E-2</v>
      </c>
      <c r="O53" s="5">
        <f t="shared" si="9"/>
        <v>2.447943224049698E-4</v>
      </c>
      <c r="P53" s="5">
        <f t="shared" si="9"/>
        <v>2.2518980318056626E-4</v>
      </c>
      <c r="Q53" s="132" t="s">
        <v>25</v>
      </c>
      <c r="R53" s="134">
        <f>IF(Q53="fine (H12)",0.021,IF(Q53="medium (H13)",0.022,IF(Q53="coarse (H14)",0.024)))</f>
        <v>2.1000000000000001E-2</v>
      </c>
      <c r="S53" s="132">
        <v>0.03</v>
      </c>
      <c r="T53" s="136">
        <f t="shared" ref="T53" si="18">IF(S53="","",0.5*(R53+S53))</f>
        <v>2.5500000000000002E-2</v>
      </c>
    </row>
    <row r="54" spans="2:20" x14ac:dyDescent="0.3">
      <c r="B54" s="130"/>
      <c r="C54" s="5">
        <v>0.02</v>
      </c>
      <c r="D54" s="5">
        <v>2E-3</v>
      </c>
      <c r="E54" s="5">
        <f t="shared" si="0"/>
        <v>1.7320508075688772E-3</v>
      </c>
      <c r="F54" s="5">
        <f t="shared" si="1"/>
        <v>2.8867513459481284E-4</v>
      </c>
      <c r="G54" s="5">
        <f t="shared" si="2"/>
        <v>1.8700959999999999E-2</v>
      </c>
      <c r="H54" s="5">
        <f t="shared" si="3"/>
        <v>1.7546260000000001E-2</v>
      </c>
      <c r="I54" s="5">
        <f t="shared" si="4"/>
        <v>1.7834935999999999E-2</v>
      </c>
      <c r="J54" s="5">
        <f t="shared" si="5"/>
        <v>1.2268600000000002E-3</v>
      </c>
      <c r="K54" s="5">
        <f t="shared" si="6"/>
        <v>1.0825400000000001E-3</v>
      </c>
      <c r="L54" s="5">
        <v>1.7999999999999999E-2</v>
      </c>
      <c r="M54" s="5">
        <f t="shared" si="7"/>
        <v>1.8123609999999998E-2</v>
      </c>
      <c r="N54" s="5">
        <f t="shared" si="8"/>
        <v>1.7546260000000001E-2</v>
      </c>
      <c r="O54" s="5">
        <f t="shared" si="9"/>
        <v>2.5797599578987436E-4</v>
      </c>
      <c r="P54" s="5">
        <f t="shared" si="9"/>
        <v>2.4180150644915609E-4</v>
      </c>
      <c r="Q54" s="132"/>
      <c r="R54" s="134"/>
      <c r="S54" s="132"/>
      <c r="T54" s="136"/>
    </row>
    <row r="55" spans="2:20" x14ac:dyDescent="0.3">
      <c r="B55" s="130"/>
      <c r="C55" s="5">
        <v>0.02</v>
      </c>
      <c r="D55" s="5">
        <v>1.5E-3</v>
      </c>
      <c r="E55" s="5">
        <f t="shared" si="0"/>
        <v>1.2990381056766579E-3</v>
      </c>
      <c r="F55" s="5">
        <f t="shared" si="1"/>
        <v>2.1650635094610965E-4</v>
      </c>
      <c r="G55" s="5">
        <f t="shared" si="2"/>
        <v>1.9025719999999999E-2</v>
      </c>
      <c r="H55" s="5">
        <f t="shared" si="3"/>
        <v>1.8159695E-2</v>
      </c>
      <c r="I55" s="5">
        <f t="shared" si="4"/>
        <v>1.8376202000000001E-2</v>
      </c>
      <c r="J55" s="5">
        <f t="shared" si="5"/>
        <v>9.2014500000000003E-4</v>
      </c>
      <c r="K55" s="5">
        <f t="shared" si="6"/>
        <v>8.1190500000000003E-4</v>
      </c>
      <c r="L55" s="5">
        <v>1.8499999999999999E-2</v>
      </c>
      <c r="M55" s="5">
        <f t="shared" si="7"/>
        <v>1.85927075E-2</v>
      </c>
      <c r="N55" s="5">
        <f t="shared" si="8"/>
        <v>1.8159695E-2</v>
      </c>
      <c r="O55" s="5">
        <f t="shared" si="9"/>
        <v>2.7150332677772779E-4</v>
      </c>
      <c r="P55" s="5">
        <f t="shared" si="9"/>
        <v>2.5900430430129235E-4</v>
      </c>
      <c r="Q55" s="132"/>
      <c r="R55" s="134"/>
      <c r="S55" s="132"/>
      <c r="T55" s="136"/>
    </row>
    <row r="56" spans="2:20" x14ac:dyDescent="0.3">
      <c r="B56" s="130"/>
      <c r="C56" s="5">
        <v>0.02</v>
      </c>
      <c r="D56" s="5">
        <v>1E-3</v>
      </c>
      <c r="E56" s="5">
        <f t="shared" si="0"/>
        <v>8.6602540378443859E-4</v>
      </c>
      <c r="F56" s="5">
        <f t="shared" si="1"/>
        <v>1.4433756729740642E-4</v>
      </c>
      <c r="G56" s="5">
        <f t="shared" si="2"/>
        <v>1.935048E-2</v>
      </c>
      <c r="H56" s="5">
        <f t="shared" si="3"/>
        <v>1.8773129999999999E-2</v>
      </c>
      <c r="I56" s="5">
        <f t="shared" si="4"/>
        <v>1.8917468E-2</v>
      </c>
      <c r="J56" s="5">
        <f t="shared" si="5"/>
        <v>6.1343000000000009E-4</v>
      </c>
      <c r="K56" s="5">
        <f t="shared" si="6"/>
        <v>5.4127000000000005E-4</v>
      </c>
      <c r="L56" s="5">
        <v>1.9E-2</v>
      </c>
      <c r="M56" s="5">
        <f t="shared" si="7"/>
        <v>1.9061805000000001E-2</v>
      </c>
      <c r="N56" s="5">
        <f t="shared" si="8"/>
        <v>1.8773129999999999E-2</v>
      </c>
      <c r="O56" s="5">
        <f t="shared" si="9"/>
        <v>2.8537631536852979E-4</v>
      </c>
      <c r="P56" s="5">
        <f t="shared" si="9"/>
        <v>2.7679819673697494E-4</v>
      </c>
      <c r="Q56" s="132"/>
      <c r="R56" s="134"/>
      <c r="S56" s="132"/>
      <c r="T56" s="136"/>
    </row>
    <row r="57" spans="2:20" x14ac:dyDescent="0.3">
      <c r="B57" s="130" t="s">
        <v>41</v>
      </c>
      <c r="C57" s="5">
        <v>2.1999999999999999E-2</v>
      </c>
      <c r="D57" s="5">
        <v>2.5000000000000001E-3</v>
      </c>
      <c r="E57" s="5">
        <f t="shared" si="0"/>
        <v>2.1650635094610966E-3</v>
      </c>
      <c r="F57" s="5">
        <f t="shared" si="1"/>
        <v>3.6084391824351612E-4</v>
      </c>
      <c r="G57" s="5">
        <f t="shared" si="2"/>
        <v>2.0376199999999997E-2</v>
      </c>
      <c r="H57" s="5">
        <f t="shared" si="3"/>
        <v>1.8932825E-2</v>
      </c>
      <c r="I57" s="5">
        <f t="shared" si="4"/>
        <v>1.9293669999999999E-2</v>
      </c>
      <c r="J57" s="5">
        <f t="shared" si="5"/>
        <v>1.5335750000000001E-3</v>
      </c>
      <c r="K57" s="5">
        <f t="shared" si="6"/>
        <v>1.3531750000000001E-3</v>
      </c>
      <c r="L57" s="5">
        <v>1.95E-2</v>
      </c>
      <c r="M57" s="5">
        <f t="shared" si="7"/>
        <v>1.9654512499999999E-2</v>
      </c>
      <c r="N57" s="5">
        <f t="shared" si="8"/>
        <v>1.8932825E-2</v>
      </c>
      <c r="O57" s="5">
        <f t="shared" si="9"/>
        <v>3.0339920183126864E-4</v>
      </c>
      <c r="P57" s="5">
        <f t="shared" si="9"/>
        <v>2.8152743445867759E-4</v>
      </c>
      <c r="Q57" s="132" t="s">
        <v>25</v>
      </c>
      <c r="R57" s="134">
        <f>IF(Q57="fine (H12)",0.023,IF(Q57="medium (H13)",0.024,IF(Q57="coarse (H14)",0.026)))</f>
        <v>2.3E-2</v>
      </c>
      <c r="S57" s="132"/>
      <c r="T57" s="136" t="str">
        <f t="shared" ref="T57" si="19">IF(S57="","",0.5*(R57+S57))</f>
        <v/>
      </c>
    </row>
    <row r="58" spans="2:20" x14ac:dyDescent="0.3">
      <c r="B58" s="130"/>
      <c r="C58" s="5">
        <v>2.1999999999999999E-2</v>
      </c>
      <c r="D58" s="5">
        <v>2E-3</v>
      </c>
      <c r="E58" s="5">
        <f t="shared" si="0"/>
        <v>1.7320508075688772E-3</v>
      </c>
      <c r="F58" s="5">
        <f t="shared" si="1"/>
        <v>2.8867513459481284E-4</v>
      </c>
      <c r="G58" s="5">
        <f t="shared" si="2"/>
        <v>2.0700959999999997E-2</v>
      </c>
      <c r="H58" s="5">
        <f t="shared" si="3"/>
        <v>1.9546259999999999E-2</v>
      </c>
      <c r="I58" s="5">
        <f t="shared" si="4"/>
        <v>1.9834935999999997E-2</v>
      </c>
      <c r="J58" s="5">
        <f t="shared" si="5"/>
        <v>1.2268600000000002E-3</v>
      </c>
      <c r="K58" s="5">
        <f t="shared" si="6"/>
        <v>1.0825400000000001E-3</v>
      </c>
      <c r="L58" s="5">
        <v>0.02</v>
      </c>
      <c r="M58" s="5">
        <f t="shared" si="7"/>
        <v>2.012361E-2</v>
      </c>
      <c r="N58" s="5">
        <f t="shared" si="8"/>
        <v>1.9546259999999999E-2</v>
      </c>
      <c r="O58" s="5">
        <f t="shared" si="9"/>
        <v>3.1805458847599077E-4</v>
      </c>
      <c r="P58" s="5">
        <f t="shared" si="9"/>
        <v>3.0006630061672231E-4</v>
      </c>
      <c r="Q58" s="132"/>
      <c r="R58" s="134"/>
      <c r="S58" s="132"/>
      <c r="T58" s="136"/>
    </row>
    <row r="59" spans="2:20" x14ac:dyDescent="0.3">
      <c r="B59" s="130"/>
      <c r="C59" s="5">
        <v>2.1999999999999999E-2</v>
      </c>
      <c r="D59" s="5">
        <v>1.5E-3</v>
      </c>
      <c r="E59" s="5">
        <f t="shared" si="0"/>
        <v>1.2990381056766579E-3</v>
      </c>
      <c r="F59" s="5">
        <f t="shared" si="1"/>
        <v>2.1650635094610965E-4</v>
      </c>
      <c r="G59" s="5">
        <f t="shared" si="2"/>
        <v>2.1025719999999998E-2</v>
      </c>
      <c r="H59" s="5">
        <f t="shared" si="3"/>
        <v>2.0159694999999998E-2</v>
      </c>
      <c r="I59" s="5">
        <f t="shared" si="4"/>
        <v>2.0376202E-2</v>
      </c>
      <c r="J59" s="5">
        <f t="shared" si="5"/>
        <v>9.2014500000000003E-4</v>
      </c>
      <c r="K59" s="5">
        <f t="shared" si="6"/>
        <v>8.1190500000000003E-4</v>
      </c>
      <c r="L59" s="5">
        <v>2.0500000000000001E-2</v>
      </c>
      <c r="M59" s="5">
        <f t="shared" si="7"/>
        <v>2.0592707499999998E-2</v>
      </c>
      <c r="N59" s="5">
        <f t="shared" si="8"/>
        <v>2.0159694999999998E-2</v>
      </c>
      <c r="O59" s="5">
        <f t="shared" si="9"/>
        <v>3.330556327236614E-4</v>
      </c>
      <c r="P59" s="5">
        <f t="shared" si="9"/>
        <v>3.1919626135831335E-4</v>
      </c>
      <c r="Q59" s="132"/>
      <c r="R59" s="134"/>
      <c r="S59" s="132"/>
      <c r="T59" s="136"/>
    </row>
    <row r="60" spans="2:20" x14ac:dyDescent="0.3">
      <c r="B60" s="130"/>
      <c r="C60" s="5">
        <v>2.1999999999999999E-2</v>
      </c>
      <c r="D60" s="5">
        <v>1E-3</v>
      </c>
      <c r="E60" s="5">
        <f t="shared" si="0"/>
        <v>8.6602540378443859E-4</v>
      </c>
      <c r="F60" s="5">
        <f t="shared" si="1"/>
        <v>1.4433756729740642E-4</v>
      </c>
      <c r="G60" s="5">
        <f t="shared" si="2"/>
        <v>2.1350479999999998E-2</v>
      </c>
      <c r="H60" s="5">
        <f t="shared" si="3"/>
        <v>2.0773129999999997E-2</v>
      </c>
      <c r="I60" s="5">
        <f t="shared" si="4"/>
        <v>2.0917467999999998E-2</v>
      </c>
      <c r="J60" s="5">
        <f t="shared" si="5"/>
        <v>6.1343000000000009E-4</v>
      </c>
      <c r="K60" s="5">
        <f t="shared" si="6"/>
        <v>5.4127000000000005E-4</v>
      </c>
      <c r="L60" s="5">
        <v>2.1000000000000001E-2</v>
      </c>
      <c r="M60" s="5">
        <f t="shared" si="7"/>
        <v>2.1061804999999996E-2</v>
      </c>
      <c r="N60" s="5">
        <f t="shared" si="8"/>
        <v>2.0773129999999997E-2</v>
      </c>
      <c r="O60" s="5">
        <f t="shared" si="9"/>
        <v>3.4840233457428054E-4</v>
      </c>
      <c r="P60" s="5">
        <f t="shared" si="9"/>
        <v>3.3891731668345083E-4</v>
      </c>
      <c r="Q60" s="132"/>
      <c r="R60" s="134"/>
      <c r="S60" s="132"/>
      <c r="T60" s="136"/>
    </row>
    <row r="61" spans="2:20" x14ac:dyDescent="0.3">
      <c r="B61" s="130" t="s">
        <v>42</v>
      </c>
      <c r="C61" s="9">
        <v>2.4E-2</v>
      </c>
      <c r="D61" s="9">
        <v>3.0000000000000001E-3</v>
      </c>
      <c r="E61" s="5">
        <f t="shared" si="0"/>
        <v>2.5980762113533159E-3</v>
      </c>
      <c r="F61" s="5">
        <f t="shared" si="1"/>
        <v>4.3301270189221929E-4</v>
      </c>
      <c r="G61" s="5">
        <f t="shared" si="2"/>
        <v>2.2051440000000002E-2</v>
      </c>
      <c r="H61" s="5">
        <f t="shared" si="3"/>
        <v>2.031939E-2</v>
      </c>
      <c r="I61" s="5">
        <f t="shared" si="4"/>
        <v>2.0752404000000002E-2</v>
      </c>
      <c r="J61" s="5">
        <f t="shared" si="5"/>
        <v>1.8402900000000001E-3</v>
      </c>
      <c r="K61" s="5">
        <f t="shared" si="6"/>
        <v>1.6238100000000001E-3</v>
      </c>
      <c r="L61" s="5">
        <v>2.1000000000000001E-2</v>
      </c>
      <c r="M61" s="5">
        <f t="shared" si="7"/>
        <v>2.1185414999999999E-2</v>
      </c>
      <c r="N61" s="5">
        <f t="shared" si="8"/>
        <v>2.031939E-2</v>
      </c>
      <c r="O61" s="5">
        <f t="shared" si="9"/>
        <v>3.5250382426315631E-4</v>
      </c>
      <c r="P61" s="5">
        <f t="shared" si="9"/>
        <v>3.2427331658001533E-4</v>
      </c>
      <c r="Q61" s="132" t="s">
        <v>25</v>
      </c>
      <c r="R61" s="134">
        <f>IF(Q61="fine (H12)",0.025,IF(Q61="medium (H13)",0.026,IF(Q61="coarse (H14)",0.028)))</f>
        <v>2.5000000000000001E-2</v>
      </c>
      <c r="S61" s="132">
        <v>3.5999999999999997E-2</v>
      </c>
      <c r="T61" s="136">
        <f t="shared" ref="T61" si="20">IF(S61="","",0.5*(R61+S61))</f>
        <v>3.0499999999999999E-2</v>
      </c>
    </row>
    <row r="62" spans="2:20" x14ac:dyDescent="0.3">
      <c r="B62" s="130"/>
      <c r="C62" s="9">
        <v>2.4E-2</v>
      </c>
      <c r="D62" s="9">
        <v>2E-3</v>
      </c>
      <c r="E62" s="5">
        <f t="shared" si="0"/>
        <v>1.7320508075688772E-3</v>
      </c>
      <c r="F62" s="5">
        <f t="shared" si="1"/>
        <v>2.8867513459481284E-4</v>
      </c>
      <c r="G62" s="5">
        <f t="shared" si="2"/>
        <v>2.2700959999999999E-2</v>
      </c>
      <c r="H62" s="5">
        <f t="shared" si="3"/>
        <v>2.1546260000000001E-2</v>
      </c>
      <c r="I62" s="5">
        <f t="shared" si="4"/>
        <v>2.1834935999999999E-2</v>
      </c>
      <c r="J62" s="5">
        <f t="shared" si="5"/>
        <v>1.2268600000000002E-3</v>
      </c>
      <c r="K62" s="5">
        <f t="shared" si="6"/>
        <v>1.0825400000000001E-3</v>
      </c>
      <c r="L62" s="5">
        <v>2.1999999999999999E-2</v>
      </c>
      <c r="M62" s="5">
        <f t="shared" si="7"/>
        <v>2.2123610000000002E-2</v>
      </c>
      <c r="N62" s="5">
        <f t="shared" si="8"/>
        <v>2.1546260000000001E-2</v>
      </c>
      <c r="O62" s="5">
        <f t="shared" si="9"/>
        <v>3.8441636646928672E-4</v>
      </c>
      <c r="P62" s="5">
        <f t="shared" si="9"/>
        <v>3.6461428009146817E-4</v>
      </c>
      <c r="Q62" s="132"/>
      <c r="R62" s="134"/>
      <c r="S62" s="132"/>
      <c r="T62" s="136"/>
    </row>
    <row r="63" spans="2:20" x14ac:dyDescent="0.3">
      <c r="B63" s="130"/>
      <c r="C63" s="9">
        <v>2.4E-2</v>
      </c>
      <c r="D63" s="9">
        <v>1.5E-3</v>
      </c>
      <c r="E63" s="5">
        <f t="shared" si="0"/>
        <v>1.2990381056766579E-3</v>
      </c>
      <c r="F63" s="5">
        <f t="shared" si="1"/>
        <v>2.1650635094610965E-4</v>
      </c>
      <c r="G63" s="5">
        <f t="shared" si="2"/>
        <v>2.302572E-2</v>
      </c>
      <c r="H63" s="5">
        <f t="shared" si="3"/>
        <v>2.2159695E-2</v>
      </c>
      <c r="I63" s="5">
        <f t="shared" si="4"/>
        <v>2.2376202000000001E-2</v>
      </c>
      <c r="J63" s="5">
        <f t="shared" si="5"/>
        <v>9.2014500000000003E-4</v>
      </c>
      <c r="K63" s="5">
        <f t="shared" si="6"/>
        <v>8.1190500000000003E-4</v>
      </c>
      <c r="L63" s="5">
        <v>2.2499999999999999E-2</v>
      </c>
      <c r="M63" s="5">
        <f t="shared" si="7"/>
        <v>2.25927075E-2</v>
      </c>
      <c r="N63" s="5">
        <f t="shared" si="8"/>
        <v>2.2159695E-2</v>
      </c>
      <c r="O63" s="5">
        <f t="shared" si="9"/>
        <v>4.0089112397677471E-4</v>
      </c>
      <c r="P63" s="5">
        <f t="shared" si="9"/>
        <v>3.8567140372251405E-4</v>
      </c>
      <c r="Q63" s="132"/>
      <c r="R63" s="134"/>
      <c r="S63" s="132"/>
      <c r="T63" s="136"/>
    </row>
    <row r="64" spans="2:20" x14ac:dyDescent="0.3">
      <c r="B64" s="130"/>
      <c r="C64" s="9">
        <v>2.4E-2</v>
      </c>
      <c r="D64" s="9">
        <v>1E-3</v>
      </c>
      <c r="E64" s="5">
        <f t="shared" si="0"/>
        <v>8.6602540378443859E-4</v>
      </c>
      <c r="F64" s="5">
        <f t="shared" si="1"/>
        <v>1.4433756729740642E-4</v>
      </c>
      <c r="G64" s="5">
        <f t="shared" si="2"/>
        <v>2.335048E-2</v>
      </c>
      <c r="H64" s="5">
        <f t="shared" si="3"/>
        <v>2.2773129999999999E-2</v>
      </c>
      <c r="I64" s="5">
        <f t="shared" si="4"/>
        <v>2.2917468E-2</v>
      </c>
      <c r="J64" s="5">
        <f t="shared" si="5"/>
        <v>6.1343000000000009E-4</v>
      </c>
      <c r="K64" s="5">
        <f t="shared" si="6"/>
        <v>5.4127000000000005E-4</v>
      </c>
      <c r="L64" s="5">
        <v>2.3E-2</v>
      </c>
      <c r="M64" s="5">
        <f t="shared" si="7"/>
        <v>2.3061804999999998E-2</v>
      </c>
      <c r="N64" s="5">
        <f t="shared" si="8"/>
        <v>2.2773129999999999E-2</v>
      </c>
      <c r="O64" s="5">
        <f t="shared" si="9"/>
        <v>4.1771153908721115E-4</v>
      </c>
      <c r="P64" s="5">
        <f t="shared" si="9"/>
        <v>4.0731962193710637E-4</v>
      </c>
      <c r="Q64" s="132"/>
      <c r="R64" s="134"/>
      <c r="S64" s="132"/>
      <c r="T64" s="136"/>
    </row>
    <row r="65" spans="2:23" x14ac:dyDescent="0.3">
      <c r="B65" s="130" t="s">
        <v>43</v>
      </c>
      <c r="C65" s="5">
        <v>2.7E-2</v>
      </c>
      <c r="D65" s="5">
        <v>3.0000000000000001E-3</v>
      </c>
      <c r="E65" s="5">
        <f t="shared" si="0"/>
        <v>2.5980762113533159E-3</v>
      </c>
      <c r="F65" s="5">
        <f t="shared" si="1"/>
        <v>4.3301270189221929E-4</v>
      </c>
      <c r="G65" s="5">
        <f t="shared" si="2"/>
        <v>2.5051440000000001E-2</v>
      </c>
      <c r="H65" s="5">
        <f t="shared" si="3"/>
        <v>2.3319389999999999E-2</v>
      </c>
      <c r="I65" s="5">
        <f t="shared" si="4"/>
        <v>2.3752403999999998E-2</v>
      </c>
      <c r="J65" s="5">
        <f t="shared" si="5"/>
        <v>1.8402900000000001E-3</v>
      </c>
      <c r="K65" s="5">
        <f t="shared" si="6"/>
        <v>1.6238100000000001E-3</v>
      </c>
      <c r="L65" s="5">
        <v>2.4E-2</v>
      </c>
      <c r="M65" s="5">
        <f t="shared" si="7"/>
        <v>2.4185415000000002E-2</v>
      </c>
      <c r="N65" s="5">
        <f t="shared" si="8"/>
        <v>2.3319389999999999E-2</v>
      </c>
      <c r="O65" s="5">
        <f t="shared" si="9"/>
        <v>4.5940632392460994E-4</v>
      </c>
      <c r="P65" s="5">
        <f t="shared" si="9"/>
        <v>4.2709476957473118E-4</v>
      </c>
      <c r="Q65" s="132" t="s">
        <v>25</v>
      </c>
      <c r="R65" s="134">
        <f>IF(Q65="fine (H12)",0.028,IF(Q65="medium (H13)",0.03,IF(Q65="coarse (H14)",0.032)))</f>
        <v>2.8000000000000001E-2</v>
      </c>
      <c r="S65" s="132"/>
      <c r="T65" s="136" t="str">
        <f>IF(S65="","",0.5*(R65+S65))</f>
        <v/>
      </c>
    </row>
    <row r="66" spans="2:23" x14ac:dyDescent="0.3">
      <c r="B66" s="130"/>
      <c r="C66" s="5">
        <v>2.7E-2</v>
      </c>
      <c r="D66" s="5">
        <v>2E-3</v>
      </c>
      <c r="E66" s="5">
        <f t="shared" si="0"/>
        <v>1.7320508075688772E-3</v>
      </c>
      <c r="F66" s="5">
        <f t="shared" si="1"/>
        <v>2.8867513459481284E-4</v>
      </c>
      <c r="G66" s="5">
        <f t="shared" si="2"/>
        <v>2.5700959999999998E-2</v>
      </c>
      <c r="H66" s="5">
        <f t="shared" si="3"/>
        <v>2.454626E-2</v>
      </c>
      <c r="I66" s="5">
        <f t="shared" si="4"/>
        <v>2.4834935999999998E-2</v>
      </c>
      <c r="J66" s="5">
        <f t="shared" si="5"/>
        <v>1.2268600000000002E-3</v>
      </c>
      <c r="K66" s="5">
        <f t="shared" si="6"/>
        <v>1.0825400000000001E-3</v>
      </c>
      <c r="L66" s="5">
        <v>2.5000000000000001E-2</v>
      </c>
      <c r="M66" s="5">
        <f t="shared" si="7"/>
        <v>2.5123609999999998E-2</v>
      </c>
      <c r="N66" s="5">
        <f t="shared" si="8"/>
        <v>2.454626E-2</v>
      </c>
      <c r="O66" s="5">
        <f t="shared" si="9"/>
        <v>4.9574000591019209E-4</v>
      </c>
      <c r="P66" s="5">
        <f t="shared" si="9"/>
        <v>4.7321722175454865E-4</v>
      </c>
      <c r="Q66" s="132"/>
      <c r="R66" s="134"/>
      <c r="S66" s="132"/>
      <c r="T66" s="136"/>
    </row>
    <row r="67" spans="2:23" x14ac:dyDescent="0.3">
      <c r="B67" s="130"/>
      <c r="C67" s="5">
        <v>2.7E-2</v>
      </c>
      <c r="D67" s="5">
        <v>1.5E-3</v>
      </c>
      <c r="E67" s="5">
        <f t="shared" si="0"/>
        <v>1.2990381056766579E-3</v>
      </c>
      <c r="F67" s="5">
        <f t="shared" si="1"/>
        <v>2.1650635094610965E-4</v>
      </c>
      <c r="G67" s="5">
        <f t="shared" si="2"/>
        <v>2.6025719999999999E-2</v>
      </c>
      <c r="H67" s="5">
        <f t="shared" si="3"/>
        <v>2.5159694999999999E-2</v>
      </c>
      <c r="I67" s="5">
        <f t="shared" si="4"/>
        <v>2.5376202E-2</v>
      </c>
      <c r="J67" s="5">
        <f t="shared" si="5"/>
        <v>9.2014500000000003E-4</v>
      </c>
      <c r="K67" s="5">
        <f t="shared" si="6"/>
        <v>8.1190500000000003E-4</v>
      </c>
      <c r="L67" s="5">
        <v>2.5499999999999998E-2</v>
      </c>
      <c r="M67" s="5">
        <f t="shared" si="7"/>
        <v>2.5592707499999999E-2</v>
      </c>
      <c r="N67" s="5">
        <f t="shared" si="8"/>
        <v>2.5159694999999999E-2</v>
      </c>
      <c r="O67" s="5">
        <f t="shared" si="9"/>
        <v>5.1442533330740619E-4</v>
      </c>
      <c r="P67" s="5">
        <f t="shared" si="9"/>
        <v>4.971650897197769E-4</v>
      </c>
      <c r="Q67" s="132"/>
      <c r="R67" s="134"/>
      <c r="S67" s="132"/>
      <c r="T67" s="136"/>
    </row>
    <row r="68" spans="2:23" x14ac:dyDescent="0.3">
      <c r="B68" s="130" t="s">
        <v>44</v>
      </c>
      <c r="C68" s="5">
        <v>0.03</v>
      </c>
      <c r="D68" s="5">
        <v>3.5000000000000001E-3</v>
      </c>
      <c r="E68" s="5">
        <f t="shared" si="0"/>
        <v>3.0310889132455351E-3</v>
      </c>
      <c r="F68" s="5">
        <f t="shared" si="1"/>
        <v>5.0518148554092252E-4</v>
      </c>
      <c r="G68" s="5">
        <f t="shared" si="2"/>
        <v>2.772668E-2</v>
      </c>
      <c r="H68" s="5">
        <f t="shared" si="3"/>
        <v>2.5705954999999999E-2</v>
      </c>
      <c r="I68" s="5">
        <f t="shared" si="4"/>
        <v>2.6211137999999998E-2</v>
      </c>
      <c r="J68" s="5">
        <f t="shared" si="5"/>
        <v>2.147005E-3</v>
      </c>
      <c r="K68" s="5">
        <f t="shared" si="6"/>
        <v>1.8944450000000002E-3</v>
      </c>
      <c r="L68" s="5">
        <v>2.6499999999999999E-2</v>
      </c>
      <c r="M68" s="5">
        <f t="shared" si="7"/>
        <v>2.67163175E-2</v>
      </c>
      <c r="N68" s="5">
        <f t="shared" si="8"/>
        <v>2.5705954999999999E-2</v>
      </c>
      <c r="O68" s="5">
        <f t="shared" si="9"/>
        <v>5.6058706604912318E-4</v>
      </c>
      <c r="P68" s="5">
        <f t="shared" si="9"/>
        <v>5.1898806096182973E-4</v>
      </c>
      <c r="Q68" s="132" t="s">
        <v>25</v>
      </c>
      <c r="R68" s="134">
        <f>IF(Q68="fine (H12)",0.031,IF(Q68="medium (H13)",0.033,IF(Q68="coarse (H14)",0.035)))</f>
        <v>3.1E-2</v>
      </c>
      <c r="S68" s="132">
        <v>4.4999999999999998E-2</v>
      </c>
      <c r="T68" s="136">
        <f>IF(S68="","",0.5*(R68+S68))</f>
        <v>3.7999999999999999E-2</v>
      </c>
    </row>
    <row r="69" spans="2:23" x14ac:dyDescent="0.3">
      <c r="B69" s="130"/>
      <c r="C69" s="5">
        <v>0.03</v>
      </c>
      <c r="D69" s="5">
        <v>3.0000000000000001E-3</v>
      </c>
      <c r="E69" s="5">
        <f t="shared" si="0"/>
        <v>2.5980762113533159E-3</v>
      </c>
      <c r="F69" s="5">
        <f t="shared" si="1"/>
        <v>4.3301270189221929E-4</v>
      </c>
      <c r="G69" s="5">
        <f t="shared" si="2"/>
        <v>2.805144E-2</v>
      </c>
      <c r="H69" s="5">
        <f t="shared" si="3"/>
        <v>2.6319389999999998E-2</v>
      </c>
      <c r="I69" s="5">
        <f t="shared" si="4"/>
        <v>2.6752404E-2</v>
      </c>
      <c r="J69" s="5">
        <f t="shared" si="5"/>
        <v>1.8402900000000001E-3</v>
      </c>
      <c r="K69" s="5">
        <f t="shared" si="6"/>
        <v>1.6238100000000001E-3</v>
      </c>
      <c r="L69" s="5">
        <v>2.7E-2</v>
      </c>
      <c r="M69" s="5">
        <f t="shared" si="7"/>
        <v>2.7185414999999997E-2</v>
      </c>
      <c r="N69" s="5">
        <f t="shared" si="8"/>
        <v>2.6319389999999998E-2</v>
      </c>
      <c r="O69" s="5">
        <f t="shared" si="9"/>
        <v>5.8044599052721739E-4</v>
      </c>
      <c r="P69" s="5">
        <f t="shared" si="9"/>
        <v>5.4405338951060104E-4</v>
      </c>
      <c r="Q69" s="132"/>
      <c r="R69" s="134"/>
      <c r="S69" s="132"/>
      <c r="T69" s="136"/>
    </row>
    <row r="70" spans="2:23" x14ac:dyDescent="0.3">
      <c r="B70" s="130"/>
      <c r="C70" s="5">
        <v>0.03</v>
      </c>
      <c r="D70" s="5">
        <v>2E-3</v>
      </c>
      <c r="E70" s="5">
        <f t="shared" si="0"/>
        <v>1.7320508075688772E-3</v>
      </c>
      <c r="F70" s="5">
        <f t="shared" si="1"/>
        <v>2.8867513459481284E-4</v>
      </c>
      <c r="G70" s="5">
        <f t="shared" si="2"/>
        <v>2.8700959999999998E-2</v>
      </c>
      <c r="H70" s="5">
        <f t="shared" si="3"/>
        <v>2.7546259999999999E-2</v>
      </c>
      <c r="I70" s="5">
        <f t="shared" si="4"/>
        <v>2.7834935999999998E-2</v>
      </c>
      <c r="J70" s="5">
        <f t="shared" si="5"/>
        <v>1.2268600000000002E-3</v>
      </c>
      <c r="K70" s="5">
        <f t="shared" si="6"/>
        <v>1.0825400000000001E-3</v>
      </c>
      <c r="L70" s="5">
        <v>2.8000000000000001E-2</v>
      </c>
      <c r="M70" s="5">
        <f t="shared" si="7"/>
        <v>2.812361E-2</v>
      </c>
      <c r="N70" s="5">
        <f t="shared" si="8"/>
        <v>2.7546259999999999E-2</v>
      </c>
      <c r="O70" s="5">
        <f t="shared" si="9"/>
        <v>6.2120081229225183E-4</v>
      </c>
      <c r="P70" s="5">
        <f t="shared" si="9"/>
        <v>5.9595733035878312E-4</v>
      </c>
      <c r="Q70" s="132"/>
      <c r="R70" s="134"/>
      <c r="S70" s="132"/>
      <c r="T70" s="136"/>
    </row>
    <row r="71" spans="2:23" x14ac:dyDescent="0.3">
      <c r="B71" s="130"/>
      <c r="C71" s="5">
        <v>0.03</v>
      </c>
      <c r="D71" s="5">
        <v>1.5E-3</v>
      </c>
      <c r="E71" s="5">
        <f t="shared" si="0"/>
        <v>1.2990381056766579E-3</v>
      </c>
      <c r="F71" s="5">
        <f t="shared" si="1"/>
        <v>2.1650635094610965E-4</v>
      </c>
      <c r="G71" s="5">
        <f t="shared" si="2"/>
        <v>2.9025719999999998E-2</v>
      </c>
      <c r="H71" s="5">
        <f t="shared" si="3"/>
        <v>2.8159694999999998E-2</v>
      </c>
      <c r="I71" s="5">
        <f t="shared" si="4"/>
        <v>2.8376202E-2</v>
      </c>
      <c r="J71" s="5">
        <f t="shared" si="5"/>
        <v>9.2014500000000003E-4</v>
      </c>
      <c r="K71" s="5">
        <f t="shared" si="6"/>
        <v>8.1190500000000003E-4</v>
      </c>
      <c r="L71" s="5">
        <v>2.8500000000000001E-2</v>
      </c>
      <c r="M71" s="5">
        <f t="shared" si="7"/>
        <v>2.8592707499999998E-2</v>
      </c>
      <c r="N71" s="5">
        <f t="shared" si="8"/>
        <v>2.8159694999999998E-2</v>
      </c>
      <c r="O71" s="5">
        <f t="shared" si="9"/>
        <v>6.4209670957919183E-4</v>
      </c>
      <c r="P71" s="5">
        <f t="shared" si="9"/>
        <v>6.2279594265819357E-4</v>
      </c>
      <c r="Q71" s="132"/>
      <c r="R71" s="134"/>
      <c r="S71" s="132"/>
      <c r="T71" s="136"/>
    </row>
    <row r="72" spans="2:23" x14ac:dyDescent="0.3">
      <c r="B72" s="130" t="s">
        <v>45</v>
      </c>
      <c r="C72" s="5">
        <v>3.3000000000000002E-2</v>
      </c>
      <c r="D72" s="5">
        <v>3.5000000000000001E-3</v>
      </c>
      <c r="E72" s="5">
        <f t="shared" si="0"/>
        <v>3.0310889132455351E-3</v>
      </c>
      <c r="F72" s="5">
        <f t="shared" si="1"/>
        <v>5.0518148554092252E-4</v>
      </c>
      <c r="G72" s="5">
        <f t="shared" si="2"/>
        <v>3.0726680000000003E-2</v>
      </c>
      <c r="H72" s="5">
        <f t="shared" si="3"/>
        <v>2.8705955000000002E-2</v>
      </c>
      <c r="I72" s="5">
        <f t="shared" si="4"/>
        <v>2.9211138000000001E-2</v>
      </c>
      <c r="J72" s="5">
        <f t="shared" si="5"/>
        <v>2.147005E-3</v>
      </c>
      <c r="K72" s="5">
        <f t="shared" si="6"/>
        <v>1.8944450000000002E-3</v>
      </c>
      <c r="L72" s="5">
        <v>2.9499999999999998E-2</v>
      </c>
      <c r="M72" s="5">
        <f t="shared" si="7"/>
        <v>2.9716317500000002E-2</v>
      </c>
      <c r="N72" s="5">
        <f t="shared" si="8"/>
        <v>2.8705955000000002E-2</v>
      </c>
      <c r="O72" s="5">
        <f t="shared" si="9"/>
        <v>6.9355332970315894E-4</v>
      </c>
      <c r="P72" s="5">
        <f t="shared" si="9"/>
        <v>6.4719310350467164E-4</v>
      </c>
      <c r="Q72" s="132" t="s">
        <v>25</v>
      </c>
      <c r="R72" s="134">
        <f>IF(Q72="fine (H12)",0.034,IF(Q72="medium (H13)",0.036,IF(Q72="coarse (H14)",0.038)))</f>
        <v>3.4000000000000002E-2</v>
      </c>
      <c r="S72" s="132"/>
      <c r="T72" s="136" t="str">
        <f t="shared" ref="T72" si="21">IF(S72="","",0.5*(R72+S72))</f>
        <v/>
      </c>
    </row>
    <row r="73" spans="2:23" x14ac:dyDescent="0.3">
      <c r="B73" s="130"/>
      <c r="C73" s="5">
        <v>3.3000000000000002E-2</v>
      </c>
      <c r="D73" s="5">
        <v>3.0000000000000001E-3</v>
      </c>
      <c r="E73" s="5">
        <f t="shared" ref="E73:E122" si="22">((SQRT(3)/2)*D73)</f>
        <v>2.5980762113533159E-3</v>
      </c>
      <c r="F73" s="5">
        <f t="shared" ref="F73:F122" si="23">E73/6</f>
        <v>4.3301270189221929E-4</v>
      </c>
      <c r="G73" s="5">
        <f t="shared" si="2"/>
        <v>3.1051440000000003E-2</v>
      </c>
      <c r="H73" s="5">
        <f t="shared" si="3"/>
        <v>2.9319390000000001E-2</v>
      </c>
      <c r="I73" s="5">
        <f t="shared" si="4"/>
        <v>2.9752404000000003E-2</v>
      </c>
      <c r="J73" s="5">
        <f t="shared" ref="J73:J122" si="24">0.61343*D73</f>
        <v>1.8402900000000001E-3</v>
      </c>
      <c r="K73" s="5">
        <f t="shared" ref="K73:K122" si="25">0.54127*D73</f>
        <v>1.6238100000000001E-3</v>
      </c>
      <c r="L73" s="5">
        <v>0.03</v>
      </c>
      <c r="M73" s="5">
        <f t="shared" ref="M73:M122" si="26">0.5*(G73+H73)</f>
        <v>3.0185415E-2</v>
      </c>
      <c r="N73" s="5">
        <f t="shared" ref="N73:N122" si="27">H73</f>
        <v>2.9319390000000001E-2</v>
      </c>
      <c r="O73" s="5">
        <f t="shared" ref="O73:P122" si="28">0.25*PI()*M73^2</f>
        <v>7.1562282407097917E-4</v>
      </c>
      <c r="P73" s="5">
        <f t="shared" si="28"/>
        <v>6.7514917638762521E-4</v>
      </c>
      <c r="Q73" s="132"/>
      <c r="R73" s="134"/>
      <c r="S73" s="132"/>
      <c r="T73" s="136"/>
    </row>
    <row r="74" spans="2:23" x14ac:dyDescent="0.3">
      <c r="B74" s="130"/>
      <c r="C74" s="5">
        <v>3.3000000000000002E-2</v>
      </c>
      <c r="D74" s="5">
        <v>2E-3</v>
      </c>
      <c r="E74" s="5">
        <f t="shared" si="22"/>
        <v>1.7320508075688772E-3</v>
      </c>
      <c r="F74" s="5">
        <f t="shared" si="23"/>
        <v>2.8867513459481284E-4</v>
      </c>
      <c r="G74" s="5">
        <f t="shared" si="2"/>
        <v>3.170096E-2</v>
      </c>
      <c r="H74" s="5">
        <f t="shared" si="3"/>
        <v>3.0546260000000002E-2</v>
      </c>
      <c r="I74" s="5">
        <f t="shared" si="4"/>
        <v>3.0834936E-2</v>
      </c>
      <c r="J74" s="5">
        <f t="shared" si="24"/>
        <v>1.2268600000000002E-3</v>
      </c>
      <c r="K74" s="5">
        <f t="shared" si="25"/>
        <v>1.0825400000000001E-3</v>
      </c>
      <c r="L74" s="5">
        <v>3.1E-2</v>
      </c>
      <c r="M74" s="5">
        <f t="shared" si="26"/>
        <v>3.1123610000000003E-2</v>
      </c>
      <c r="N74" s="5">
        <f t="shared" si="27"/>
        <v>3.0546260000000002E-2</v>
      </c>
      <c r="O74" s="5">
        <f t="shared" si="28"/>
        <v>7.6079878561546572E-4</v>
      </c>
      <c r="P74" s="5">
        <f t="shared" si="28"/>
        <v>7.328346059041718E-4</v>
      </c>
      <c r="Q74" s="132"/>
      <c r="R74" s="134"/>
      <c r="S74" s="132"/>
      <c r="T74" s="136"/>
    </row>
    <row r="75" spans="2:23" x14ac:dyDescent="0.3">
      <c r="B75" s="130"/>
      <c r="C75" s="5">
        <v>3.3000000000000002E-2</v>
      </c>
      <c r="D75" s="5">
        <v>1.5E-3</v>
      </c>
      <c r="E75" s="5">
        <f t="shared" si="22"/>
        <v>1.2990381056766579E-3</v>
      </c>
      <c r="F75" s="5">
        <f t="shared" si="23"/>
        <v>2.1650635094610965E-4</v>
      </c>
      <c r="G75" s="5">
        <f t="shared" si="2"/>
        <v>3.2025720000000001E-2</v>
      </c>
      <c r="H75" s="5">
        <f t="shared" si="3"/>
        <v>3.1159695000000001E-2</v>
      </c>
      <c r="I75" s="5">
        <f t="shared" si="4"/>
        <v>3.1376201999999999E-2</v>
      </c>
      <c r="J75" s="5">
        <f t="shared" si="24"/>
        <v>9.2014500000000003E-4</v>
      </c>
      <c r="K75" s="5">
        <f t="shared" si="25"/>
        <v>8.1190500000000003E-4</v>
      </c>
      <c r="L75" s="5">
        <v>3.0499999999999999E-2</v>
      </c>
      <c r="M75" s="5">
        <f t="shared" si="26"/>
        <v>3.1592707499999997E-2</v>
      </c>
      <c r="N75" s="5">
        <f t="shared" si="27"/>
        <v>3.1159695000000001E-2</v>
      </c>
      <c r="O75" s="5">
        <f t="shared" si="28"/>
        <v>7.839052527921313E-4</v>
      </c>
      <c r="P75" s="5">
        <f t="shared" si="28"/>
        <v>7.6256396253776462E-4</v>
      </c>
      <c r="Q75" s="132"/>
      <c r="R75" s="134"/>
      <c r="S75" s="132"/>
      <c r="T75" s="136"/>
    </row>
    <row r="76" spans="2:23" x14ac:dyDescent="0.3">
      <c r="B76" s="130" t="s">
        <v>46</v>
      </c>
      <c r="C76" s="5">
        <v>3.5999999999999997E-2</v>
      </c>
      <c r="D76" s="5">
        <v>4.0000000000000001E-3</v>
      </c>
      <c r="E76" s="5">
        <f t="shared" si="22"/>
        <v>3.4641016151377543E-3</v>
      </c>
      <c r="F76" s="5">
        <f t="shared" si="23"/>
        <v>5.7735026918962569E-4</v>
      </c>
      <c r="G76" s="5">
        <f t="shared" si="2"/>
        <v>3.3401919999999995E-2</v>
      </c>
      <c r="H76" s="5">
        <f t="shared" si="3"/>
        <v>3.1092519999999998E-2</v>
      </c>
      <c r="I76" s="5">
        <f t="shared" si="4"/>
        <v>3.1669871999999995E-2</v>
      </c>
      <c r="J76" s="5">
        <f t="shared" si="24"/>
        <v>2.4537200000000004E-3</v>
      </c>
      <c r="K76" s="5">
        <f t="shared" si="25"/>
        <v>2.1650800000000002E-3</v>
      </c>
      <c r="L76" s="5">
        <v>3.2000000000000001E-2</v>
      </c>
      <c r="M76" s="5">
        <f t="shared" si="26"/>
        <v>3.2247219999999993E-2</v>
      </c>
      <c r="N76" s="5">
        <f t="shared" si="27"/>
        <v>3.1092519999999998E-2</v>
      </c>
      <c r="O76" s="5">
        <f t="shared" si="28"/>
        <v>8.1672235364375055E-4</v>
      </c>
      <c r="P76" s="5">
        <f t="shared" si="28"/>
        <v>7.5927959035507761E-4</v>
      </c>
      <c r="Q76" s="132" t="s">
        <v>25</v>
      </c>
      <c r="R76" s="134">
        <f>IF(Q76="fine (H12)",0.037,IF(Q76="medium (H13)",0.039,IF(Q76="coarse (H14)",0.042)))</f>
        <v>3.6999999999999998E-2</v>
      </c>
      <c r="S76" s="132">
        <v>5.3999999999999999E-2</v>
      </c>
      <c r="T76" s="136">
        <f t="shared" ref="T76" si="29">IF(S76="","",0.5*(R76+S76))</f>
        <v>4.5499999999999999E-2</v>
      </c>
      <c r="W76" t="s">
        <v>47</v>
      </c>
    </row>
    <row r="77" spans="2:23" x14ac:dyDescent="0.3">
      <c r="B77" s="130"/>
      <c r="C77" s="5">
        <v>3.5999999999999997E-2</v>
      </c>
      <c r="D77" s="5">
        <v>3.0000000000000001E-3</v>
      </c>
      <c r="E77" s="5">
        <f t="shared" si="22"/>
        <v>2.5980762113533159E-3</v>
      </c>
      <c r="F77" s="5">
        <f t="shared" si="23"/>
        <v>4.3301270189221929E-4</v>
      </c>
      <c r="G77" s="5">
        <f t="shared" si="2"/>
        <v>3.4051439999999995E-2</v>
      </c>
      <c r="H77" s="5">
        <f t="shared" si="3"/>
        <v>3.2319389999999996E-2</v>
      </c>
      <c r="I77" s="5">
        <f t="shared" si="4"/>
        <v>3.2752403999999999E-2</v>
      </c>
      <c r="J77" s="5">
        <f t="shared" si="24"/>
        <v>1.8402900000000001E-3</v>
      </c>
      <c r="K77" s="5">
        <f t="shared" si="25"/>
        <v>1.6238100000000001E-3</v>
      </c>
      <c r="L77" s="5">
        <v>3.3000000000000002E-2</v>
      </c>
      <c r="M77" s="5">
        <f t="shared" si="26"/>
        <v>3.3185414999999996E-2</v>
      </c>
      <c r="N77" s="5">
        <f t="shared" si="27"/>
        <v>3.2319389999999996E-2</v>
      </c>
      <c r="O77" s="5">
        <f t="shared" si="28"/>
        <v>8.6493682455589477E-4</v>
      </c>
      <c r="P77" s="5">
        <f t="shared" si="28"/>
        <v>8.203821302058031E-4</v>
      </c>
      <c r="Q77" s="132"/>
      <c r="R77" s="134"/>
      <c r="S77" s="132"/>
      <c r="T77" s="136"/>
    </row>
    <row r="78" spans="2:23" x14ac:dyDescent="0.3">
      <c r="B78" s="130"/>
      <c r="C78" s="5">
        <v>3.5999999999999997E-2</v>
      </c>
      <c r="D78" s="5">
        <v>2E-3</v>
      </c>
      <c r="E78" s="5">
        <f t="shared" si="22"/>
        <v>1.7320508075688772E-3</v>
      </c>
      <c r="F78" s="5">
        <f t="shared" si="23"/>
        <v>2.8867513459481284E-4</v>
      </c>
      <c r="G78" s="5">
        <f t="shared" si="2"/>
        <v>3.4700959999999996E-2</v>
      </c>
      <c r="H78" s="5">
        <f t="shared" si="3"/>
        <v>3.3546259999999994E-2</v>
      </c>
      <c r="I78" s="5">
        <f t="shared" si="4"/>
        <v>3.3834935999999996E-2</v>
      </c>
      <c r="J78" s="5">
        <f t="shared" si="24"/>
        <v>1.2268600000000002E-3</v>
      </c>
      <c r="K78" s="5">
        <f t="shared" si="25"/>
        <v>1.0825400000000001E-3</v>
      </c>
      <c r="L78" s="5">
        <v>3.4000000000000002E-2</v>
      </c>
      <c r="M78" s="5">
        <f t="shared" si="26"/>
        <v>3.4123609999999999E-2</v>
      </c>
      <c r="N78" s="5">
        <f t="shared" si="27"/>
        <v>3.3546259999999994E-2</v>
      </c>
      <c r="O78" s="5">
        <f t="shared" si="28"/>
        <v>9.1453392587983323E-4</v>
      </c>
      <c r="P78" s="5">
        <f t="shared" si="28"/>
        <v>8.838490483907141E-4</v>
      </c>
      <c r="Q78" s="132"/>
      <c r="R78" s="134"/>
      <c r="S78" s="132"/>
      <c r="T78" s="136"/>
    </row>
    <row r="79" spans="2:23" x14ac:dyDescent="0.3">
      <c r="B79" s="130"/>
      <c r="C79" s="5">
        <v>3.5999999999999997E-2</v>
      </c>
      <c r="D79" s="5">
        <v>1.5E-3</v>
      </c>
      <c r="E79" s="5">
        <f t="shared" si="22"/>
        <v>1.2990381056766579E-3</v>
      </c>
      <c r="F79" s="5">
        <f t="shared" si="23"/>
        <v>2.1650635094610965E-4</v>
      </c>
      <c r="G79" s="5">
        <f t="shared" si="2"/>
        <v>3.5025719999999996E-2</v>
      </c>
      <c r="H79" s="5">
        <f t="shared" si="3"/>
        <v>3.4159694999999997E-2</v>
      </c>
      <c r="I79" s="5">
        <f t="shared" si="4"/>
        <v>3.4376201999999995E-2</v>
      </c>
      <c r="J79" s="5">
        <f t="shared" si="24"/>
        <v>9.2014500000000003E-4</v>
      </c>
      <c r="K79" s="5">
        <f t="shared" si="25"/>
        <v>8.1190500000000003E-4</v>
      </c>
      <c r="L79" s="5">
        <v>3.4500000000000003E-2</v>
      </c>
      <c r="M79" s="5">
        <f t="shared" si="26"/>
        <v>3.45927075E-2</v>
      </c>
      <c r="N79" s="5">
        <f t="shared" si="27"/>
        <v>3.4159694999999997E-2</v>
      </c>
      <c r="O79" s="5">
        <f t="shared" si="28"/>
        <v>9.3985096294622536E-4</v>
      </c>
      <c r="P79" s="5">
        <f t="shared" si="28"/>
        <v>9.1646914935848939E-4</v>
      </c>
      <c r="Q79" s="132"/>
      <c r="R79" s="134"/>
      <c r="S79" s="132"/>
      <c r="T79" s="136"/>
    </row>
    <row r="80" spans="2:23" x14ac:dyDescent="0.3">
      <c r="B80" s="130" t="s">
        <v>48</v>
      </c>
      <c r="C80" s="5">
        <v>3.9E-2</v>
      </c>
      <c r="D80" s="5">
        <v>4.0000000000000001E-3</v>
      </c>
      <c r="E80" s="5">
        <f t="shared" si="22"/>
        <v>3.4641016151377543E-3</v>
      </c>
      <c r="F80" s="5">
        <f t="shared" si="23"/>
        <v>5.7735026918962569E-4</v>
      </c>
      <c r="G80" s="5">
        <f t="shared" si="2"/>
        <v>3.6401919999999997E-2</v>
      </c>
      <c r="H80" s="5">
        <f t="shared" si="3"/>
        <v>3.4092520000000001E-2</v>
      </c>
      <c r="I80" s="5">
        <f t="shared" si="4"/>
        <v>3.4669871999999997E-2</v>
      </c>
      <c r="J80" s="5">
        <f t="shared" si="24"/>
        <v>2.4537200000000004E-3</v>
      </c>
      <c r="K80" s="5">
        <f t="shared" si="25"/>
        <v>2.1650800000000002E-3</v>
      </c>
      <c r="L80" s="5">
        <v>3.5000000000000003E-2</v>
      </c>
      <c r="M80" s="5">
        <f t="shared" si="26"/>
        <v>3.5247219999999996E-2</v>
      </c>
      <c r="N80" s="5">
        <f t="shared" si="27"/>
        <v>3.4092520000000001E-2</v>
      </c>
      <c r="O80" s="5">
        <f t="shared" si="28"/>
        <v>9.757523812903684E-4</v>
      </c>
      <c r="P80" s="5">
        <f t="shared" si="28"/>
        <v>9.1286822244604536E-4</v>
      </c>
      <c r="Q80" s="132" t="s">
        <v>25</v>
      </c>
      <c r="R80" s="134">
        <f>IF(Q80="fine (H12)",0.04,IF(Q80="medium (H13)",0.042,IF(Q80="coarse (H14)",0.045)))</f>
        <v>0.04</v>
      </c>
      <c r="S80" s="132"/>
      <c r="T80" s="136" t="str">
        <f t="shared" ref="T80" si="30">IF(S80="","",0.5*(R80+S80))</f>
        <v/>
      </c>
    </row>
    <row r="81" spans="2:20" x14ac:dyDescent="0.3">
      <c r="B81" s="130"/>
      <c r="C81" s="5">
        <v>3.9E-2</v>
      </c>
      <c r="D81" s="5">
        <v>3.0000000000000001E-3</v>
      </c>
      <c r="E81" s="5">
        <f t="shared" si="22"/>
        <v>2.5980762113533159E-3</v>
      </c>
      <c r="F81" s="5">
        <f t="shared" si="23"/>
        <v>4.3301270189221929E-4</v>
      </c>
      <c r="G81" s="5">
        <f t="shared" si="2"/>
        <v>3.7051439999999998E-2</v>
      </c>
      <c r="H81" s="5">
        <f t="shared" si="3"/>
        <v>3.5319389999999999E-2</v>
      </c>
      <c r="I81" s="5">
        <f t="shared" si="4"/>
        <v>3.5752404000000002E-2</v>
      </c>
      <c r="J81" s="5">
        <f t="shared" si="24"/>
        <v>1.8402900000000001E-3</v>
      </c>
      <c r="K81" s="5">
        <f t="shared" si="25"/>
        <v>1.6238100000000001E-3</v>
      </c>
      <c r="L81" s="5">
        <v>3.5999999999999997E-2</v>
      </c>
      <c r="M81" s="5">
        <f t="shared" si="26"/>
        <v>3.6185414999999999E-2</v>
      </c>
      <c r="N81" s="5">
        <f t="shared" si="27"/>
        <v>3.5319389999999999E-2</v>
      </c>
      <c r="O81" s="5">
        <f t="shared" si="28"/>
        <v>1.0283879919819646E-3</v>
      </c>
      <c r="P81" s="5">
        <f t="shared" si="28"/>
        <v>9.7975225096513536E-4</v>
      </c>
      <c r="Q81" s="132"/>
      <c r="R81" s="134"/>
      <c r="S81" s="132"/>
      <c r="T81" s="136"/>
    </row>
    <row r="82" spans="2:20" x14ac:dyDescent="0.3">
      <c r="B82" s="130"/>
      <c r="C82" s="5">
        <v>3.9E-2</v>
      </c>
      <c r="D82" s="5">
        <v>2E-3</v>
      </c>
      <c r="E82" s="5">
        <f t="shared" si="22"/>
        <v>1.7320508075688772E-3</v>
      </c>
      <c r="F82" s="5">
        <f t="shared" si="23"/>
        <v>2.8867513459481284E-4</v>
      </c>
      <c r="G82" s="5">
        <f t="shared" si="2"/>
        <v>3.7700959999999999E-2</v>
      </c>
      <c r="H82" s="5">
        <f t="shared" si="3"/>
        <v>3.6546259999999997E-2</v>
      </c>
      <c r="I82" s="5">
        <f t="shared" si="4"/>
        <v>3.6834935999999999E-2</v>
      </c>
      <c r="J82" s="5">
        <f t="shared" si="24"/>
        <v>1.2268600000000002E-3</v>
      </c>
      <c r="K82" s="5">
        <f t="shared" si="25"/>
        <v>1.0825400000000001E-3</v>
      </c>
      <c r="L82" s="5">
        <v>3.6999999999999998E-2</v>
      </c>
      <c r="M82" s="5">
        <f t="shared" si="26"/>
        <v>3.7123610000000001E-2</v>
      </c>
      <c r="N82" s="5">
        <f t="shared" si="27"/>
        <v>3.6546259999999997E-2</v>
      </c>
      <c r="O82" s="5">
        <f t="shared" si="28"/>
        <v>1.0824062330853552E-3</v>
      </c>
      <c r="P82" s="5">
        <f t="shared" si="28"/>
        <v>1.0490006578184109E-3</v>
      </c>
      <c r="Q82" s="132"/>
      <c r="R82" s="134"/>
      <c r="S82" s="132"/>
      <c r="T82" s="136"/>
    </row>
    <row r="83" spans="2:20" x14ac:dyDescent="0.3">
      <c r="B83" s="130"/>
      <c r="C83" s="5">
        <v>3.9E-2</v>
      </c>
      <c r="D83" s="5">
        <v>1.5E-3</v>
      </c>
      <c r="E83" s="5">
        <f t="shared" si="22"/>
        <v>1.2990381056766579E-3</v>
      </c>
      <c r="F83" s="5">
        <f t="shared" si="23"/>
        <v>2.1650635094610965E-4</v>
      </c>
      <c r="G83" s="5">
        <f t="shared" si="2"/>
        <v>3.8025719999999999E-2</v>
      </c>
      <c r="H83" s="5">
        <f t="shared" si="3"/>
        <v>3.7159695E-2</v>
      </c>
      <c r="I83" s="5">
        <f t="shared" si="4"/>
        <v>3.7376201999999997E-2</v>
      </c>
      <c r="J83" s="5">
        <f t="shared" si="24"/>
        <v>9.2014500000000003E-4</v>
      </c>
      <c r="K83" s="5">
        <f t="shared" si="25"/>
        <v>8.1190500000000003E-4</v>
      </c>
      <c r="L83" s="5">
        <v>3.7499999999999999E-2</v>
      </c>
      <c r="M83" s="5">
        <f t="shared" si="26"/>
        <v>3.7592707500000003E-2</v>
      </c>
      <c r="N83" s="5">
        <f t="shared" si="27"/>
        <v>3.7159695E-2</v>
      </c>
      <c r="O83" s="5">
        <f t="shared" si="28"/>
        <v>1.1099338400414732E-3</v>
      </c>
      <c r="P83" s="5">
        <f t="shared" si="28"/>
        <v>1.0845115031203685E-3</v>
      </c>
      <c r="Q83" s="132"/>
      <c r="R83" s="134"/>
      <c r="S83" s="132"/>
      <c r="T83" s="136"/>
    </row>
    <row r="84" spans="2:20" x14ac:dyDescent="0.3">
      <c r="B84" s="130" t="s">
        <v>49</v>
      </c>
      <c r="C84" s="5">
        <v>4.2000000000000003E-2</v>
      </c>
      <c r="D84" s="5">
        <v>4.4999999999999997E-3</v>
      </c>
      <c r="E84" s="5">
        <f t="shared" si="22"/>
        <v>3.8971143170299736E-3</v>
      </c>
      <c r="F84" s="5">
        <f t="shared" si="23"/>
        <v>6.4951905283832897E-4</v>
      </c>
      <c r="G84" s="5">
        <f t="shared" si="2"/>
        <v>3.907716E-2</v>
      </c>
      <c r="H84" s="5">
        <f t="shared" si="3"/>
        <v>3.6479085000000001E-2</v>
      </c>
      <c r="I84" s="5">
        <f t="shared" si="4"/>
        <v>3.7128606000000001E-2</v>
      </c>
      <c r="J84" s="5">
        <f t="shared" si="24"/>
        <v>2.7604349999999999E-3</v>
      </c>
      <c r="K84" s="5">
        <f t="shared" si="25"/>
        <v>2.4357149999999998E-3</v>
      </c>
      <c r="L84" s="5">
        <v>3.7499999999999999E-2</v>
      </c>
      <c r="M84" s="5">
        <f t="shared" si="26"/>
        <v>3.7778122499999997E-2</v>
      </c>
      <c r="N84" s="5">
        <f t="shared" si="27"/>
        <v>3.6479085000000001E-2</v>
      </c>
      <c r="O84" s="5">
        <f t="shared" si="28"/>
        <v>1.1209096870470393E-3</v>
      </c>
      <c r="P84" s="5">
        <f t="shared" si="28"/>
        <v>1.0451479047597593E-3</v>
      </c>
      <c r="Q84" s="132" t="s">
        <v>25</v>
      </c>
      <c r="R84" s="134">
        <f>IF(Q84="fine (H12)",0.043,IF(Q84="medium (H13)",0.045,IF(Q84="coarse (H14)",0.048)))</f>
        <v>4.2999999999999997E-2</v>
      </c>
      <c r="S84" s="132">
        <v>6.3E-2</v>
      </c>
      <c r="T84" s="136">
        <f t="shared" ref="T84" si="31">IF(S84="","",0.5*(R84+S84))</f>
        <v>5.2999999999999999E-2</v>
      </c>
    </row>
    <row r="85" spans="2:20" x14ac:dyDescent="0.3">
      <c r="B85" s="130"/>
      <c r="C85" s="5">
        <v>4.2000000000000003E-2</v>
      </c>
      <c r="D85" s="5">
        <v>3.0000000000000001E-3</v>
      </c>
      <c r="E85" s="5">
        <f t="shared" si="22"/>
        <v>2.5980762113533159E-3</v>
      </c>
      <c r="F85" s="5">
        <f t="shared" si="23"/>
        <v>4.3301270189221929E-4</v>
      </c>
      <c r="G85" s="5">
        <f t="shared" si="2"/>
        <v>4.0051440000000001E-2</v>
      </c>
      <c r="H85" s="5">
        <f t="shared" si="3"/>
        <v>3.8319390000000002E-2</v>
      </c>
      <c r="I85" s="5">
        <f t="shared" si="4"/>
        <v>3.8752404000000004E-2</v>
      </c>
      <c r="J85" s="5">
        <f t="shared" si="24"/>
        <v>1.8402900000000001E-3</v>
      </c>
      <c r="K85" s="5">
        <f t="shared" si="25"/>
        <v>1.6238100000000001E-3</v>
      </c>
      <c r="L85" s="5">
        <v>3.9E-2</v>
      </c>
      <c r="M85" s="5">
        <f t="shared" si="26"/>
        <v>3.9185415000000001E-2</v>
      </c>
      <c r="N85" s="5">
        <f t="shared" si="27"/>
        <v>3.8319390000000002E-2</v>
      </c>
      <c r="O85" s="5">
        <f t="shared" si="28"/>
        <v>1.2059763263491889E-3</v>
      </c>
      <c r="P85" s="5">
        <f t="shared" si="28"/>
        <v>1.1532595386656217E-3</v>
      </c>
      <c r="Q85" s="132"/>
      <c r="R85" s="134"/>
      <c r="S85" s="132"/>
      <c r="T85" s="136"/>
    </row>
    <row r="86" spans="2:20" x14ac:dyDescent="0.3">
      <c r="B86" s="130"/>
      <c r="C86" s="5">
        <v>4.2000000000000003E-2</v>
      </c>
      <c r="D86" s="5">
        <v>2E-3</v>
      </c>
      <c r="E86" s="5">
        <f t="shared" si="22"/>
        <v>1.7320508075688772E-3</v>
      </c>
      <c r="F86" s="5">
        <f t="shared" si="23"/>
        <v>2.8867513459481284E-4</v>
      </c>
      <c r="G86" s="5">
        <f t="shared" si="2"/>
        <v>4.0700960000000001E-2</v>
      </c>
      <c r="H86" s="5">
        <f t="shared" si="3"/>
        <v>3.954626E-2</v>
      </c>
      <c r="I86" s="5">
        <f t="shared" si="4"/>
        <v>3.9834936000000001E-2</v>
      </c>
      <c r="J86" s="5">
        <f t="shared" si="24"/>
        <v>1.2268600000000002E-3</v>
      </c>
      <c r="K86" s="5">
        <f t="shared" si="25"/>
        <v>1.0825400000000001E-3</v>
      </c>
      <c r="L86" s="5">
        <v>0.04</v>
      </c>
      <c r="M86" s="5">
        <f t="shared" si="26"/>
        <v>4.0123610000000004E-2</v>
      </c>
      <c r="N86" s="5">
        <f t="shared" si="27"/>
        <v>3.954626E-2</v>
      </c>
      <c r="O86" s="5">
        <f t="shared" si="28"/>
        <v>1.2644157072320313E-3</v>
      </c>
      <c r="P86" s="5">
        <f t="shared" si="28"/>
        <v>1.2282894341872619E-3</v>
      </c>
      <c r="Q86" s="132"/>
      <c r="R86" s="134"/>
      <c r="S86" s="132"/>
      <c r="T86" s="136"/>
    </row>
    <row r="87" spans="2:20" x14ac:dyDescent="0.3">
      <c r="B87" s="130"/>
      <c r="C87" s="5">
        <v>4.2000000000000003E-2</v>
      </c>
      <c r="D87" s="5">
        <v>1.5E-3</v>
      </c>
      <c r="E87" s="5">
        <f t="shared" si="22"/>
        <v>1.2990381056766579E-3</v>
      </c>
      <c r="F87" s="5">
        <f t="shared" si="23"/>
        <v>2.1650635094610965E-4</v>
      </c>
      <c r="G87" s="5">
        <f t="shared" si="2"/>
        <v>4.1025720000000002E-2</v>
      </c>
      <c r="H87" s="5">
        <f t="shared" si="3"/>
        <v>4.0159695000000002E-2</v>
      </c>
      <c r="I87" s="5">
        <f t="shared" si="4"/>
        <v>4.0376202E-2</v>
      </c>
      <c r="J87" s="5">
        <f t="shared" si="24"/>
        <v>9.2014500000000003E-4</v>
      </c>
      <c r="K87" s="5">
        <f t="shared" si="25"/>
        <v>8.1190500000000003E-4</v>
      </c>
      <c r="L87" s="5">
        <v>4.0500000000000001E-2</v>
      </c>
      <c r="M87" s="5">
        <f t="shared" si="26"/>
        <v>4.0592707500000005E-2</v>
      </c>
      <c r="N87" s="5">
        <f t="shared" si="27"/>
        <v>4.0159695000000002E-2</v>
      </c>
      <c r="O87" s="5">
        <f t="shared" si="28"/>
        <v>1.2941538840778755E-3</v>
      </c>
      <c r="P87" s="5">
        <f t="shared" si="28"/>
        <v>1.2666910238234017E-3</v>
      </c>
      <c r="Q87" s="132"/>
      <c r="R87" s="134"/>
      <c r="S87" s="132"/>
      <c r="T87" s="136"/>
    </row>
    <row r="88" spans="2:20" x14ac:dyDescent="0.3">
      <c r="B88" s="130" t="s">
        <v>50</v>
      </c>
      <c r="C88" s="5">
        <v>4.4999999999999998E-2</v>
      </c>
      <c r="D88" s="5">
        <v>4.4999999999999997E-3</v>
      </c>
      <c r="E88" s="5">
        <f t="shared" si="22"/>
        <v>3.8971143170299736E-3</v>
      </c>
      <c r="F88" s="5">
        <f t="shared" si="23"/>
        <v>6.4951905283832897E-4</v>
      </c>
      <c r="G88" s="5">
        <f t="shared" si="2"/>
        <v>4.2077159999999995E-2</v>
      </c>
      <c r="H88" s="5">
        <f t="shared" si="3"/>
        <v>3.9479084999999997E-2</v>
      </c>
      <c r="I88" s="5">
        <f t="shared" si="4"/>
        <v>4.0128605999999997E-2</v>
      </c>
      <c r="J88" s="5">
        <f t="shared" si="24"/>
        <v>2.7604349999999999E-3</v>
      </c>
      <c r="K88" s="5">
        <f t="shared" si="25"/>
        <v>2.4357149999999998E-3</v>
      </c>
      <c r="L88" s="5">
        <v>4.0500000000000001E-2</v>
      </c>
      <c r="M88" s="5">
        <f t="shared" si="26"/>
        <v>4.07781225E-2</v>
      </c>
      <c r="N88" s="5">
        <f t="shared" si="27"/>
        <v>3.9479084999999997E-2</v>
      </c>
      <c r="O88" s="5">
        <f t="shared" si="28"/>
        <v>1.3060034786862393E-3</v>
      </c>
      <c r="P88" s="5">
        <f t="shared" si="28"/>
        <v>1.2241201263988525E-3</v>
      </c>
      <c r="Q88" s="132" t="s">
        <v>25</v>
      </c>
      <c r="R88" s="134">
        <f>IF(Q88="fine (H12)",0.046,IF(Q88="medium (H13)",0.048,IF(Q88="coarse (H14)",0.052)))</f>
        <v>4.5999999999999999E-2</v>
      </c>
      <c r="S88" s="132"/>
      <c r="T88" s="136" t="str">
        <f>IF(S88="","",0.5*(R88+S88))</f>
        <v/>
      </c>
    </row>
    <row r="89" spans="2:20" x14ac:dyDescent="0.3">
      <c r="B89" s="130"/>
      <c r="C89" s="5">
        <v>4.4999999999999998E-2</v>
      </c>
      <c r="D89" s="5">
        <v>4.0000000000000001E-3</v>
      </c>
      <c r="E89" s="5">
        <f t="shared" si="22"/>
        <v>3.4641016151377543E-3</v>
      </c>
      <c r="F89" s="5">
        <f t="shared" si="23"/>
        <v>5.7735026918962569E-4</v>
      </c>
      <c r="G89" s="5">
        <f t="shared" si="2"/>
        <v>4.2401919999999996E-2</v>
      </c>
      <c r="H89" s="5">
        <f t="shared" si="3"/>
        <v>4.009252E-2</v>
      </c>
      <c r="I89" s="5">
        <f t="shared" si="4"/>
        <v>4.0669871999999996E-2</v>
      </c>
      <c r="J89" s="5">
        <f t="shared" si="24"/>
        <v>2.4537200000000004E-3</v>
      </c>
      <c r="K89" s="5">
        <f t="shared" si="25"/>
        <v>2.1650800000000002E-3</v>
      </c>
      <c r="L89" s="5">
        <v>4.1000000000000002E-2</v>
      </c>
      <c r="M89" s="5">
        <f t="shared" si="26"/>
        <v>4.1247220000000001E-2</v>
      </c>
      <c r="N89" s="5">
        <f t="shared" si="27"/>
        <v>4.009252E-2</v>
      </c>
      <c r="O89" s="5">
        <f t="shared" si="28"/>
        <v>1.3362239374070668E-3</v>
      </c>
      <c r="P89" s="5">
        <f t="shared" si="28"/>
        <v>1.2624569874514428E-3</v>
      </c>
      <c r="Q89" s="132"/>
      <c r="R89" s="134"/>
      <c r="S89" s="132"/>
      <c r="T89" s="136"/>
    </row>
    <row r="90" spans="2:20" x14ac:dyDescent="0.3">
      <c r="B90" s="130"/>
      <c r="C90" s="5">
        <v>4.4999999999999998E-2</v>
      </c>
      <c r="D90" s="5">
        <v>3.0000000000000001E-3</v>
      </c>
      <c r="E90" s="5">
        <f t="shared" si="22"/>
        <v>2.5980762113533159E-3</v>
      </c>
      <c r="F90" s="5">
        <f t="shared" si="23"/>
        <v>4.3301270189221929E-4</v>
      </c>
      <c r="G90" s="5">
        <f t="shared" si="2"/>
        <v>4.3051439999999996E-2</v>
      </c>
      <c r="H90" s="5">
        <f t="shared" si="3"/>
        <v>4.1319389999999998E-2</v>
      </c>
      <c r="I90" s="5">
        <f t="shared" si="4"/>
        <v>4.1752404E-2</v>
      </c>
      <c r="J90" s="5">
        <f t="shared" si="24"/>
        <v>1.8402900000000001E-3</v>
      </c>
      <c r="K90" s="5">
        <f t="shared" si="25"/>
        <v>1.6238100000000001E-3</v>
      </c>
      <c r="L90" s="5">
        <v>4.2000000000000003E-2</v>
      </c>
      <c r="M90" s="5">
        <f t="shared" si="26"/>
        <v>4.2185414999999997E-2</v>
      </c>
      <c r="N90" s="5">
        <f t="shared" si="27"/>
        <v>4.1319389999999998E-2</v>
      </c>
      <c r="O90" s="5">
        <f t="shared" si="28"/>
        <v>1.3977018276575663E-3</v>
      </c>
      <c r="P90" s="5">
        <f t="shared" si="28"/>
        <v>1.3409039933072618E-3</v>
      </c>
      <c r="Q90" s="132"/>
      <c r="R90" s="134"/>
      <c r="S90" s="132"/>
      <c r="T90" s="136"/>
    </row>
    <row r="91" spans="2:20" x14ac:dyDescent="0.3">
      <c r="B91" s="130"/>
      <c r="C91" s="5">
        <v>4.4999999999999998E-2</v>
      </c>
      <c r="D91" s="5">
        <v>2E-3</v>
      </c>
      <c r="E91" s="5">
        <f t="shared" si="22"/>
        <v>1.7320508075688772E-3</v>
      </c>
      <c r="F91" s="5">
        <f t="shared" si="23"/>
        <v>2.8867513459481284E-4</v>
      </c>
      <c r="G91" s="5">
        <f t="shared" si="2"/>
        <v>4.3700959999999997E-2</v>
      </c>
      <c r="H91" s="5">
        <f t="shared" si="3"/>
        <v>4.2546259999999995E-2</v>
      </c>
      <c r="I91" s="5">
        <f t="shared" si="4"/>
        <v>4.2834935999999997E-2</v>
      </c>
      <c r="J91" s="5">
        <f t="shared" si="24"/>
        <v>1.2268600000000002E-3</v>
      </c>
      <c r="K91" s="5">
        <f t="shared" si="25"/>
        <v>1.0825400000000001E-3</v>
      </c>
      <c r="L91" s="5">
        <v>4.2999999999999997E-2</v>
      </c>
      <c r="M91" s="5">
        <f t="shared" si="26"/>
        <v>4.3123609999999993E-2</v>
      </c>
      <c r="N91" s="5">
        <f t="shared" si="27"/>
        <v>4.2546259999999995E-2</v>
      </c>
      <c r="O91" s="5">
        <f t="shared" si="28"/>
        <v>1.4605623483198605E-3</v>
      </c>
      <c r="P91" s="5">
        <f t="shared" si="28"/>
        <v>1.4217153774972663E-3</v>
      </c>
      <c r="Q91" s="132"/>
      <c r="R91" s="134"/>
      <c r="S91" s="132"/>
      <c r="T91" s="136"/>
    </row>
    <row r="92" spans="2:20" x14ac:dyDescent="0.3">
      <c r="B92" s="130"/>
      <c r="C92" s="5">
        <v>4.4999999999999998E-2</v>
      </c>
      <c r="D92" s="5">
        <v>1.5E-3</v>
      </c>
      <c r="E92" s="5">
        <f t="shared" si="22"/>
        <v>1.2990381056766579E-3</v>
      </c>
      <c r="F92" s="5">
        <f t="shared" si="23"/>
        <v>2.1650635094610965E-4</v>
      </c>
      <c r="G92" s="5">
        <f t="shared" si="2"/>
        <v>4.4025719999999997E-2</v>
      </c>
      <c r="H92" s="5">
        <f t="shared" si="3"/>
        <v>4.3159694999999998E-2</v>
      </c>
      <c r="I92" s="5">
        <f t="shared" si="4"/>
        <v>4.3376201999999996E-2</v>
      </c>
      <c r="J92" s="5">
        <f t="shared" si="24"/>
        <v>9.2014500000000003E-4</v>
      </c>
      <c r="K92" s="5">
        <f t="shared" si="25"/>
        <v>8.1190500000000003E-4</v>
      </c>
      <c r="L92" s="5">
        <v>4.3499999999999997E-2</v>
      </c>
      <c r="M92" s="5">
        <f t="shared" si="26"/>
        <v>4.3592707499999994E-2</v>
      </c>
      <c r="N92" s="5">
        <f t="shared" si="27"/>
        <v>4.3159694999999998E-2</v>
      </c>
      <c r="O92" s="5">
        <f t="shared" si="28"/>
        <v>1.4925110950554307E-3</v>
      </c>
      <c r="P92" s="5">
        <f t="shared" si="28"/>
        <v>1.4630077114675885E-3</v>
      </c>
      <c r="Q92" s="132"/>
      <c r="R92" s="134"/>
      <c r="S92" s="132"/>
      <c r="T92" s="136"/>
    </row>
    <row r="93" spans="2:20" x14ac:dyDescent="0.3">
      <c r="B93" s="130" t="s">
        <v>51</v>
      </c>
      <c r="C93" s="5">
        <v>4.8000000000000001E-2</v>
      </c>
      <c r="D93" s="5">
        <v>5.0000000000000001E-3</v>
      </c>
      <c r="E93" s="5">
        <f t="shared" si="22"/>
        <v>4.3301270189221933E-3</v>
      </c>
      <c r="F93" s="5">
        <f t="shared" si="23"/>
        <v>7.2168783648703225E-4</v>
      </c>
      <c r="G93" s="5">
        <f t="shared" si="2"/>
        <v>4.4752399999999998E-2</v>
      </c>
      <c r="H93" s="5">
        <f t="shared" si="3"/>
        <v>4.1865650000000004E-2</v>
      </c>
      <c r="I93" s="5">
        <f t="shared" si="4"/>
        <v>4.2587340000000001E-2</v>
      </c>
      <c r="J93" s="5">
        <f t="shared" si="24"/>
        <v>3.0671500000000003E-3</v>
      </c>
      <c r="K93" s="5">
        <f t="shared" si="25"/>
        <v>2.7063500000000002E-3</v>
      </c>
      <c r="L93" s="5">
        <v>4.2999999999999997E-2</v>
      </c>
      <c r="M93" s="5">
        <f t="shared" si="26"/>
        <v>4.3309025000000001E-2</v>
      </c>
      <c r="N93" s="5">
        <f t="shared" si="27"/>
        <v>4.1865650000000004E-2</v>
      </c>
      <c r="O93" s="5">
        <f t="shared" si="28"/>
        <v>1.4731490662589887E-3</v>
      </c>
      <c r="P93" s="5">
        <f t="shared" si="28"/>
        <v>1.3765930041758744E-3</v>
      </c>
      <c r="Q93" s="132" t="s">
        <v>25</v>
      </c>
      <c r="R93" s="134">
        <f>IF(Q93="fine (H12)",0.05,IF(Q93="medium (H13)",0.052,IF(Q93="coarse (H14)",0.056)))</f>
        <v>0.05</v>
      </c>
      <c r="S93" s="132">
        <v>7.1999999999999995E-2</v>
      </c>
      <c r="T93" s="136">
        <f t="shared" ref="T93" si="32">IF(S93="","",0.5*(R93+S93))</f>
        <v>6.0999999999999999E-2</v>
      </c>
    </row>
    <row r="94" spans="2:20" x14ac:dyDescent="0.3">
      <c r="B94" s="130"/>
      <c r="C94" s="5">
        <v>4.8000000000000001E-2</v>
      </c>
      <c r="D94" s="5">
        <v>4.0000000000000001E-3</v>
      </c>
      <c r="E94" s="5">
        <f t="shared" si="22"/>
        <v>3.4641016151377543E-3</v>
      </c>
      <c r="F94" s="5">
        <f t="shared" si="23"/>
        <v>5.7735026918962569E-4</v>
      </c>
      <c r="G94" s="5">
        <f t="shared" si="2"/>
        <v>4.5401919999999998E-2</v>
      </c>
      <c r="H94" s="5">
        <f t="shared" si="3"/>
        <v>4.3092520000000002E-2</v>
      </c>
      <c r="I94" s="5">
        <f t="shared" si="4"/>
        <v>4.3669871999999998E-2</v>
      </c>
      <c r="J94" s="5">
        <f t="shared" si="24"/>
        <v>2.4537200000000004E-3</v>
      </c>
      <c r="K94" s="5">
        <f t="shared" si="25"/>
        <v>2.1650800000000002E-3</v>
      </c>
      <c r="L94" s="5">
        <v>4.3999999999999997E-2</v>
      </c>
      <c r="M94" s="5">
        <f t="shared" si="26"/>
        <v>4.4247220000000004E-2</v>
      </c>
      <c r="N94" s="5">
        <f t="shared" si="27"/>
        <v>4.3092520000000002E-2</v>
      </c>
      <c r="O94" s="5">
        <f t="shared" si="28"/>
        <v>1.5376654658771469E-3</v>
      </c>
      <c r="P94" s="5">
        <f t="shared" si="28"/>
        <v>1.4584571203658727E-3</v>
      </c>
      <c r="Q94" s="132"/>
      <c r="R94" s="134"/>
      <c r="S94" s="132"/>
      <c r="T94" s="136"/>
    </row>
    <row r="95" spans="2:20" x14ac:dyDescent="0.3">
      <c r="B95" s="130"/>
      <c r="C95" s="5">
        <v>4.8000000000000001E-2</v>
      </c>
      <c r="D95" s="5">
        <v>3.0000000000000001E-3</v>
      </c>
      <c r="E95" s="5">
        <f t="shared" si="22"/>
        <v>2.5980762113533159E-3</v>
      </c>
      <c r="F95" s="5">
        <f t="shared" si="23"/>
        <v>4.3301270189221929E-4</v>
      </c>
      <c r="G95" s="5">
        <f t="shared" si="2"/>
        <v>4.6051439999999999E-2</v>
      </c>
      <c r="H95" s="5">
        <f t="shared" si="3"/>
        <v>4.431939E-2</v>
      </c>
      <c r="I95" s="5">
        <f t="shared" si="4"/>
        <v>4.4752404000000003E-2</v>
      </c>
      <c r="J95" s="5">
        <f t="shared" si="24"/>
        <v>1.8402900000000001E-3</v>
      </c>
      <c r="K95" s="5">
        <f t="shared" si="25"/>
        <v>1.6238100000000001E-3</v>
      </c>
      <c r="L95" s="5">
        <v>4.4999999999999998E-2</v>
      </c>
      <c r="M95" s="5">
        <f t="shared" si="26"/>
        <v>4.5185415E-2</v>
      </c>
      <c r="N95" s="5">
        <f t="shared" si="27"/>
        <v>4.431939E-2</v>
      </c>
      <c r="O95" s="5">
        <f t="shared" si="28"/>
        <v>1.6035644959070988E-3</v>
      </c>
      <c r="P95" s="5">
        <f t="shared" si="28"/>
        <v>1.5426856148900562E-3</v>
      </c>
      <c r="Q95" s="132"/>
      <c r="R95" s="134"/>
      <c r="S95" s="132"/>
      <c r="T95" s="136"/>
    </row>
    <row r="96" spans="2:20" x14ac:dyDescent="0.3">
      <c r="B96" s="130"/>
      <c r="C96" s="5">
        <v>4.8000000000000001E-2</v>
      </c>
      <c r="D96" s="5">
        <v>2E-3</v>
      </c>
      <c r="E96" s="5">
        <f t="shared" si="22"/>
        <v>1.7320508075688772E-3</v>
      </c>
      <c r="F96" s="5">
        <f t="shared" si="23"/>
        <v>2.8867513459481284E-4</v>
      </c>
      <c r="G96" s="5">
        <f t="shared" si="2"/>
        <v>4.670096E-2</v>
      </c>
      <c r="H96" s="5">
        <f t="shared" si="3"/>
        <v>4.5546259999999998E-2</v>
      </c>
      <c r="I96" s="5">
        <f t="shared" si="4"/>
        <v>4.5834936E-2</v>
      </c>
      <c r="J96" s="5">
        <f t="shared" si="24"/>
        <v>1.2268600000000002E-3</v>
      </c>
      <c r="K96" s="5">
        <f t="shared" si="25"/>
        <v>1.0825400000000001E-3</v>
      </c>
      <c r="L96" s="5">
        <v>4.5999999999999999E-2</v>
      </c>
      <c r="M96" s="5">
        <f t="shared" si="26"/>
        <v>4.6123609999999995E-2</v>
      </c>
      <c r="N96" s="5">
        <f t="shared" si="27"/>
        <v>4.5546259999999998E-2</v>
      </c>
      <c r="O96" s="5">
        <f t="shared" si="28"/>
        <v>1.6708461563488446E-3</v>
      </c>
      <c r="P96" s="5">
        <f t="shared" si="28"/>
        <v>1.6292784877484255E-3</v>
      </c>
      <c r="Q96" s="132"/>
      <c r="R96" s="134"/>
      <c r="S96" s="132"/>
      <c r="T96" s="136"/>
    </row>
    <row r="97" spans="2:20" x14ac:dyDescent="0.3">
      <c r="B97" s="130"/>
      <c r="C97" s="5">
        <v>4.8000000000000001E-2</v>
      </c>
      <c r="D97" s="5">
        <v>1.5E-3</v>
      </c>
      <c r="E97" s="5">
        <f t="shared" si="22"/>
        <v>1.2990381056766579E-3</v>
      </c>
      <c r="F97" s="5">
        <f t="shared" si="23"/>
        <v>2.1650635094610965E-4</v>
      </c>
      <c r="G97" s="5">
        <f t="shared" si="2"/>
        <v>4.702572E-2</v>
      </c>
      <c r="H97" s="5">
        <f t="shared" si="3"/>
        <v>4.6159695000000001E-2</v>
      </c>
      <c r="I97" s="5">
        <f t="shared" si="4"/>
        <v>4.6376201999999998E-2</v>
      </c>
      <c r="J97" s="5">
        <f t="shared" si="24"/>
        <v>9.2014500000000003E-4</v>
      </c>
      <c r="K97" s="5">
        <f t="shared" si="25"/>
        <v>8.1190500000000003E-4</v>
      </c>
      <c r="L97" s="5">
        <v>4.65E-2</v>
      </c>
      <c r="M97" s="5">
        <f t="shared" si="26"/>
        <v>4.6592707499999997E-2</v>
      </c>
      <c r="N97" s="5">
        <f t="shared" si="27"/>
        <v>4.6159695000000001E-2</v>
      </c>
      <c r="O97" s="5">
        <f t="shared" si="28"/>
        <v>1.7050054729741409E-3</v>
      </c>
      <c r="P97" s="5">
        <f t="shared" si="28"/>
        <v>1.67346156605293E-3</v>
      </c>
      <c r="Q97" s="132"/>
      <c r="R97" s="134"/>
      <c r="S97" s="132"/>
      <c r="T97" s="136"/>
    </row>
    <row r="98" spans="2:20" x14ac:dyDescent="0.3">
      <c r="B98" s="130" t="s">
        <v>52</v>
      </c>
      <c r="C98" s="5">
        <v>5.1999999999999998E-2</v>
      </c>
      <c r="D98" s="5">
        <v>5.0000000000000001E-3</v>
      </c>
      <c r="E98" s="5">
        <f t="shared" si="22"/>
        <v>4.3301270189221933E-3</v>
      </c>
      <c r="F98" s="5">
        <f t="shared" si="23"/>
        <v>7.2168783648703225E-4</v>
      </c>
      <c r="G98" s="5">
        <f t="shared" si="2"/>
        <v>4.8752400000000001E-2</v>
      </c>
      <c r="H98" s="5">
        <f t="shared" si="3"/>
        <v>4.5865650000000001E-2</v>
      </c>
      <c r="I98" s="5">
        <f t="shared" si="4"/>
        <v>4.6587339999999998E-2</v>
      </c>
      <c r="J98" s="5">
        <f t="shared" si="24"/>
        <v>3.0671500000000003E-3</v>
      </c>
      <c r="K98" s="5">
        <f t="shared" si="25"/>
        <v>2.7063500000000002E-3</v>
      </c>
      <c r="L98" s="5">
        <v>4.7E-2</v>
      </c>
      <c r="M98" s="5">
        <f t="shared" si="26"/>
        <v>4.7309025000000005E-2</v>
      </c>
      <c r="N98" s="5">
        <f t="shared" si="27"/>
        <v>4.5865650000000001E-2</v>
      </c>
      <c r="O98" s="5">
        <f t="shared" si="28"/>
        <v>1.7578340664216217E-3</v>
      </c>
      <c r="P98" s="5">
        <f t="shared" si="28"/>
        <v>1.6522090117457565E-3</v>
      </c>
      <c r="Q98" s="132" t="s">
        <v>25</v>
      </c>
      <c r="R98" s="134">
        <f>IF(Q98="fine (H12)",0.054,IF(Q98="medium (H13)",0.056,IF(Q98="coarse (H14)",0.062)))</f>
        <v>5.3999999999999999E-2</v>
      </c>
      <c r="S98" s="132"/>
      <c r="T98" s="136" t="str">
        <f t="shared" ref="T98" si="33">IF(S98="","",0.5*(R98+S98))</f>
        <v/>
      </c>
    </row>
    <row r="99" spans="2:20" x14ac:dyDescent="0.3">
      <c r="B99" s="130"/>
      <c r="C99" s="5">
        <v>5.1999999999999998E-2</v>
      </c>
      <c r="D99" s="5">
        <v>4.0000000000000001E-3</v>
      </c>
      <c r="E99" s="5">
        <f t="shared" si="22"/>
        <v>3.4641016151377543E-3</v>
      </c>
      <c r="F99" s="5">
        <f t="shared" si="23"/>
        <v>5.7735026918962569E-4</v>
      </c>
      <c r="G99" s="5">
        <f t="shared" si="2"/>
        <v>4.9401919999999995E-2</v>
      </c>
      <c r="H99" s="5">
        <f t="shared" si="3"/>
        <v>4.7092519999999999E-2</v>
      </c>
      <c r="I99" s="5">
        <f t="shared" si="4"/>
        <v>4.7669871999999995E-2</v>
      </c>
      <c r="J99" s="5">
        <f t="shared" si="24"/>
        <v>2.4537200000000004E-3</v>
      </c>
      <c r="K99" s="5">
        <f t="shared" si="25"/>
        <v>2.1650800000000002E-3</v>
      </c>
      <c r="L99" s="5">
        <v>4.8000000000000001E-2</v>
      </c>
      <c r="M99" s="5">
        <f t="shared" si="26"/>
        <v>4.8247219999999993E-2</v>
      </c>
      <c r="N99" s="5">
        <f t="shared" si="27"/>
        <v>4.7092519999999999E-2</v>
      </c>
      <c r="O99" s="5">
        <f t="shared" si="28"/>
        <v>1.8282453190790479E-3</v>
      </c>
      <c r="P99" s="5">
        <f t="shared" si="28"/>
        <v>1.741781779493574E-3</v>
      </c>
      <c r="Q99" s="132"/>
      <c r="R99" s="134"/>
      <c r="S99" s="132"/>
      <c r="T99" s="136"/>
    </row>
    <row r="100" spans="2:20" x14ac:dyDescent="0.3">
      <c r="B100" s="130"/>
      <c r="C100" s="5">
        <v>5.1999999999999998E-2</v>
      </c>
      <c r="D100" s="5">
        <v>3.0000000000000001E-3</v>
      </c>
      <c r="E100" s="5">
        <f t="shared" si="22"/>
        <v>2.5980762113533159E-3</v>
      </c>
      <c r="F100" s="5">
        <f t="shared" si="23"/>
        <v>4.3301270189221929E-4</v>
      </c>
      <c r="G100" s="5">
        <f t="shared" si="2"/>
        <v>5.0051439999999996E-2</v>
      </c>
      <c r="H100" s="5">
        <f t="shared" si="3"/>
        <v>4.8319389999999997E-2</v>
      </c>
      <c r="I100" s="5">
        <f t="shared" si="4"/>
        <v>4.8752403999999999E-2</v>
      </c>
      <c r="J100" s="5">
        <f t="shared" si="24"/>
        <v>1.8402900000000001E-3</v>
      </c>
      <c r="K100" s="5">
        <f t="shared" si="25"/>
        <v>1.6238100000000001E-3</v>
      </c>
      <c r="L100" s="5">
        <v>4.9000000000000002E-2</v>
      </c>
      <c r="M100" s="5">
        <f t="shared" si="26"/>
        <v>4.9185414999999996E-2</v>
      </c>
      <c r="N100" s="5">
        <f t="shared" si="27"/>
        <v>4.8319389999999997E-2</v>
      </c>
      <c r="O100" s="5">
        <f t="shared" si="28"/>
        <v>1.9000392021482698E-3</v>
      </c>
      <c r="P100" s="5">
        <f t="shared" si="28"/>
        <v>1.8337189255755771E-3</v>
      </c>
      <c r="Q100" s="132"/>
      <c r="R100" s="134"/>
      <c r="S100" s="132"/>
      <c r="T100" s="136"/>
    </row>
    <row r="101" spans="2:20" x14ac:dyDescent="0.3">
      <c r="B101" s="130"/>
      <c r="C101" s="5">
        <v>5.1999999999999998E-2</v>
      </c>
      <c r="D101" s="5">
        <v>2E-3</v>
      </c>
      <c r="E101" s="5">
        <f t="shared" si="22"/>
        <v>1.7320508075688772E-3</v>
      </c>
      <c r="F101" s="5">
        <f t="shared" si="23"/>
        <v>2.8867513459481284E-4</v>
      </c>
      <c r="G101" s="5">
        <f t="shared" si="2"/>
        <v>5.0700959999999996E-2</v>
      </c>
      <c r="H101" s="5">
        <f t="shared" si="3"/>
        <v>4.9546259999999995E-2</v>
      </c>
      <c r="I101" s="5">
        <f t="shared" si="4"/>
        <v>4.9834935999999996E-2</v>
      </c>
      <c r="J101" s="5">
        <f t="shared" si="24"/>
        <v>1.2268600000000002E-3</v>
      </c>
      <c r="K101" s="5">
        <f t="shared" si="25"/>
        <v>1.0825400000000001E-3</v>
      </c>
      <c r="L101" s="5">
        <v>0.05</v>
      </c>
      <c r="M101" s="5">
        <f t="shared" si="26"/>
        <v>5.0123609999999999E-2</v>
      </c>
      <c r="N101" s="5">
        <f t="shared" si="27"/>
        <v>4.9546259999999995E-2</v>
      </c>
      <c r="O101" s="5">
        <f t="shared" si="28"/>
        <v>1.9732157156292858E-3</v>
      </c>
      <c r="P101" s="5">
        <f t="shared" si="28"/>
        <v>1.9280204499917658E-3</v>
      </c>
      <c r="Q101" s="132"/>
      <c r="R101" s="134"/>
      <c r="S101" s="132"/>
      <c r="T101" s="136"/>
    </row>
    <row r="102" spans="2:20" x14ac:dyDescent="0.3">
      <c r="B102" s="130"/>
      <c r="C102" s="5">
        <v>5.1999999999999998E-2</v>
      </c>
      <c r="D102" s="5">
        <v>1.5E-3</v>
      </c>
      <c r="E102" s="5">
        <f t="shared" si="22"/>
        <v>1.2990381056766579E-3</v>
      </c>
      <c r="F102" s="5">
        <f t="shared" si="23"/>
        <v>2.1650635094610965E-4</v>
      </c>
      <c r="G102" s="5">
        <f t="shared" si="2"/>
        <v>5.1025719999999997E-2</v>
      </c>
      <c r="H102" s="5">
        <f t="shared" si="3"/>
        <v>5.0159694999999997E-2</v>
      </c>
      <c r="I102" s="5">
        <f t="shared" si="4"/>
        <v>5.0376201999999995E-2</v>
      </c>
      <c r="J102" s="5">
        <f t="shared" si="24"/>
        <v>9.2014500000000003E-4</v>
      </c>
      <c r="K102" s="5">
        <f t="shared" si="25"/>
        <v>8.1190500000000003E-4</v>
      </c>
      <c r="L102" s="5">
        <v>5.0500000000000003E-2</v>
      </c>
      <c r="M102" s="5">
        <f t="shared" si="26"/>
        <v>5.05927075E-2</v>
      </c>
      <c r="N102" s="5">
        <f t="shared" si="27"/>
        <v>5.0159694999999997E-2</v>
      </c>
      <c r="O102" s="5">
        <f t="shared" si="28"/>
        <v>2.0103224587742167E-3</v>
      </c>
      <c r="P102" s="5">
        <f t="shared" si="28"/>
        <v>1.9760578540751802E-3</v>
      </c>
      <c r="Q102" s="132"/>
      <c r="R102" s="134"/>
      <c r="S102" s="132"/>
      <c r="T102" s="136"/>
    </row>
    <row r="103" spans="2:20" x14ac:dyDescent="0.3">
      <c r="B103" s="130" t="s">
        <v>53</v>
      </c>
      <c r="C103" s="5">
        <v>5.6000000000000001E-2</v>
      </c>
      <c r="D103" s="5">
        <v>5.4999999999999997E-3</v>
      </c>
      <c r="E103" s="5">
        <f t="shared" si="22"/>
        <v>4.7631397208144121E-3</v>
      </c>
      <c r="F103" s="5">
        <f t="shared" si="23"/>
        <v>7.9385662013573531E-4</v>
      </c>
      <c r="G103" s="5">
        <f t="shared" si="2"/>
        <v>5.2427640000000005E-2</v>
      </c>
      <c r="H103" s="5">
        <f t="shared" si="3"/>
        <v>4.9252215000000002E-2</v>
      </c>
      <c r="I103" s="5">
        <f t="shared" si="4"/>
        <v>5.0046074000000003E-2</v>
      </c>
      <c r="J103" s="5">
        <f t="shared" si="24"/>
        <v>3.3738649999999998E-3</v>
      </c>
      <c r="K103" s="5">
        <f t="shared" si="25"/>
        <v>2.9769850000000001E-3</v>
      </c>
      <c r="L103" s="5">
        <v>5.0500000000000003E-2</v>
      </c>
      <c r="M103" s="5">
        <f t="shared" si="26"/>
        <v>5.0839927500000007E-2</v>
      </c>
      <c r="N103" s="5">
        <f t="shared" si="27"/>
        <v>4.9252215000000002E-2</v>
      </c>
      <c r="O103" s="5">
        <f t="shared" si="28"/>
        <v>2.0300172413690474E-3</v>
      </c>
      <c r="P103" s="5">
        <f t="shared" si="28"/>
        <v>1.9052036927668578E-3</v>
      </c>
      <c r="Q103" s="132" t="s">
        <v>25</v>
      </c>
      <c r="R103" s="134">
        <f>IF(Q103="fine (H12)",0.058,IF(Q103="medium (H13)",0.062,IF(Q103="coarse (H14)",0.066)))</f>
        <v>5.8000000000000003E-2</v>
      </c>
      <c r="S103" s="132">
        <v>8.4000000000000005E-2</v>
      </c>
      <c r="T103" s="136">
        <f t="shared" ref="T103" si="34">IF(S103="","",0.5*(R103+S103))</f>
        <v>7.1000000000000008E-2</v>
      </c>
    </row>
    <row r="104" spans="2:20" x14ac:dyDescent="0.3">
      <c r="B104" s="130"/>
      <c r="C104" s="5">
        <v>5.6000000000000001E-2</v>
      </c>
      <c r="D104" s="5">
        <v>4.0000000000000001E-3</v>
      </c>
      <c r="E104" s="5">
        <f t="shared" si="22"/>
        <v>3.4641016151377543E-3</v>
      </c>
      <c r="F104" s="5">
        <f t="shared" si="23"/>
        <v>5.7735026918962569E-4</v>
      </c>
      <c r="G104" s="5">
        <f t="shared" si="2"/>
        <v>5.3401919999999999E-2</v>
      </c>
      <c r="H104" s="5">
        <f t="shared" si="3"/>
        <v>5.1092520000000002E-2</v>
      </c>
      <c r="I104" s="5">
        <f t="shared" si="4"/>
        <v>5.1669871999999999E-2</v>
      </c>
      <c r="J104" s="5">
        <f t="shared" si="24"/>
        <v>2.4537200000000004E-3</v>
      </c>
      <c r="K104" s="5">
        <f t="shared" si="25"/>
        <v>2.1650800000000002E-3</v>
      </c>
      <c r="L104" s="5">
        <v>5.1999999999999998E-2</v>
      </c>
      <c r="M104" s="5">
        <f t="shared" si="26"/>
        <v>5.2247219999999997E-2</v>
      </c>
      <c r="N104" s="5">
        <f t="shared" si="27"/>
        <v>5.1092520000000002E-2</v>
      </c>
      <c r="O104" s="5">
        <f t="shared" si="28"/>
        <v>2.1439579135096682E-3</v>
      </c>
      <c r="P104" s="5">
        <f t="shared" si="28"/>
        <v>2.0502391798499944E-3</v>
      </c>
      <c r="Q104" s="132"/>
      <c r="R104" s="134"/>
      <c r="S104" s="132"/>
      <c r="T104" s="136"/>
    </row>
    <row r="105" spans="2:20" x14ac:dyDescent="0.3">
      <c r="B105" s="130"/>
      <c r="C105" s="5">
        <v>5.6000000000000001E-2</v>
      </c>
      <c r="D105" s="5">
        <v>3.0000000000000001E-3</v>
      </c>
      <c r="E105" s="5">
        <f t="shared" si="22"/>
        <v>2.5980762113533159E-3</v>
      </c>
      <c r="F105" s="5">
        <f t="shared" si="23"/>
        <v>4.3301270189221929E-4</v>
      </c>
      <c r="G105" s="5">
        <f t="shared" si="2"/>
        <v>5.4051439999999999E-2</v>
      </c>
      <c r="H105" s="5">
        <f t="shared" si="3"/>
        <v>5.231939E-2</v>
      </c>
      <c r="I105" s="5">
        <f t="shared" si="4"/>
        <v>5.2752404000000003E-2</v>
      </c>
      <c r="J105" s="5">
        <f t="shared" si="24"/>
        <v>1.8402900000000001E-3</v>
      </c>
      <c r="K105" s="5">
        <f t="shared" si="25"/>
        <v>1.6238100000000001E-3</v>
      </c>
      <c r="L105" s="5">
        <v>5.2999999999999999E-2</v>
      </c>
      <c r="M105" s="5">
        <f t="shared" si="26"/>
        <v>5.3185415E-2</v>
      </c>
      <c r="N105" s="5">
        <f t="shared" si="27"/>
        <v>5.231939E-2</v>
      </c>
      <c r="O105" s="5">
        <f t="shared" si="28"/>
        <v>2.2216466496181595E-3</v>
      </c>
      <c r="P105" s="5">
        <f t="shared" si="28"/>
        <v>2.1498849774898169E-3</v>
      </c>
      <c r="Q105" s="132"/>
      <c r="R105" s="134"/>
      <c r="S105" s="132"/>
      <c r="T105" s="136"/>
    </row>
    <row r="106" spans="2:20" x14ac:dyDescent="0.3">
      <c r="B106" s="130"/>
      <c r="C106" s="5">
        <v>5.6000000000000001E-2</v>
      </c>
      <c r="D106" s="5">
        <v>2E-3</v>
      </c>
      <c r="E106" s="5">
        <f t="shared" si="22"/>
        <v>1.7320508075688772E-3</v>
      </c>
      <c r="F106" s="5">
        <f t="shared" si="23"/>
        <v>2.8867513459481284E-4</v>
      </c>
      <c r="G106" s="5">
        <f t="shared" si="2"/>
        <v>5.470096E-2</v>
      </c>
      <c r="H106" s="5">
        <f t="shared" si="3"/>
        <v>5.3546259999999998E-2</v>
      </c>
      <c r="I106" s="5">
        <f t="shared" si="4"/>
        <v>5.3834936E-2</v>
      </c>
      <c r="J106" s="5">
        <f t="shared" si="24"/>
        <v>1.2268600000000002E-3</v>
      </c>
      <c r="K106" s="5">
        <f t="shared" si="25"/>
        <v>1.0825400000000001E-3</v>
      </c>
      <c r="L106" s="5">
        <v>5.3999999999999999E-2</v>
      </c>
      <c r="M106" s="5">
        <f t="shared" si="26"/>
        <v>5.4123610000000003E-2</v>
      </c>
      <c r="N106" s="5">
        <f t="shared" si="27"/>
        <v>5.3546259999999998E-2</v>
      </c>
      <c r="O106" s="5">
        <f t="shared" si="28"/>
        <v>2.3007180161384445E-3</v>
      </c>
      <c r="P106" s="5">
        <f t="shared" si="28"/>
        <v>2.2518951534638248E-3</v>
      </c>
      <c r="Q106" s="132"/>
      <c r="R106" s="134"/>
      <c r="S106" s="132"/>
      <c r="T106" s="136"/>
    </row>
    <row r="107" spans="2:20" x14ac:dyDescent="0.3">
      <c r="B107" s="130"/>
      <c r="C107" s="5">
        <v>5.6000000000000001E-2</v>
      </c>
      <c r="D107" s="5">
        <v>1.5E-3</v>
      </c>
      <c r="E107" s="5">
        <f t="shared" si="22"/>
        <v>1.2990381056766579E-3</v>
      </c>
      <c r="F107" s="5">
        <f t="shared" si="23"/>
        <v>2.1650635094610965E-4</v>
      </c>
      <c r="G107" s="5">
        <f t="shared" si="2"/>
        <v>5.502572E-2</v>
      </c>
      <c r="H107" s="5">
        <f t="shared" si="3"/>
        <v>5.4159695000000001E-2</v>
      </c>
      <c r="I107" s="5">
        <f t="shared" si="4"/>
        <v>5.4376201999999998E-2</v>
      </c>
      <c r="J107" s="5">
        <f t="shared" si="24"/>
        <v>9.2014500000000003E-4</v>
      </c>
      <c r="K107" s="5">
        <f t="shared" si="25"/>
        <v>8.1190500000000003E-4</v>
      </c>
      <c r="L107" s="5">
        <v>5.45E-2</v>
      </c>
      <c r="M107" s="5">
        <f t="shared" si="26"/>
        <v>5.4592707500000004E-2</v>
      </c>
      <c r="N107" s="5">
        <f t="shared" si="27"/>
        <v>5.4159695000000001E-2</v>
      </c>
      <c r="O107" s="5">
        <f t="shared" si="28"/>
        <v>2.3407721858030102E-3</v>
      </c>
      <c r="P107" s="5">
        <f t="shared" si="28"/>
        <v>2.3037868833261487E-3</v>
      </c>
      <c r="Q107" s="132"/>
      <c r="R107" s="134"/>
      <c r="S107" s="132"/>
      <c r="T107" s="136"/>
    </row>
    <row r="108" spans="2:20" x14ac:dyDescent="0.3">
      <c r="B108" s="130" t="s">
        <v>54</v>
      </c>
      <c r="C108" s="5">
        <v>0.06</v>
      </c>
      <c r="D108" s="5">
        <v>5.4999999999999997E-3</v>
      </c>
      <c r="E108" s="5">
        <f t="shared" si="22"/>
        <v>4.7631397208144121E-3</v>
      </c>
      <c r="F108" s="5">
        <f t="shared" si="23"/>
        <v>7.9385662013573531E-4</v>
      </c>
      <c r="G108" s="5">
        <f t="shared" si="2"/>
        <v>5.6427640000000001E-2</v>
      </c>
      <c r="H108" s="5">
        <f t="shared" si="3"/>
        <v>5.3252214999999999E-2</v>
      </c>
      <c r="I108" s="5">
        <f t="shared" si="4"/>
        <v>5.4046074E-2</v>
      </c>
      <c r="J108" s="5">
        <f t="shared" si="24"/>
        <v>3.3738649999999998E-3</v>
      </c>
      <c r="K108" s="5">
        <f t="shared" si="25"/>
        <v>2.9769850000000001E-3</v>
      </c>
      <c r="L108" s="5">
        <v>5.45E-2</v>
      </c>
      <c r="M108" s="5">
        <f t="shared" si="26"/>
        <v>5.4839927499999996E-2</v>
      </c>
      <c r="N108" s="5">
        <f t="shared" si="27"/>
        <v>5.3252214999999999E-2</v>
      </c>
      <c r="O108" s="5">
        <f t="shared" si="28"/>
        <v>2.3620202974694812E-3</v>
      </c>
      <c r="P108" s="5">
        <f t="shared" si="28"/>
        <v>2.2272308570152667E-3</v>
      </c>
      <c r="Q108" s="132" t="s">
        <v>25</v>
      </c>
      <c r="R108" s="134">
        <f>IF(Q108="fine (H12)",0.062,IF(Q108="medium (H13)",0.066,IF(Q108="coarse (H14)",0.07)))</f>
        <v>6.2E-2</v>
      </c>
      <c r="S108" s="132"/>
      <c r="T108" s="136" t="str">
        <f t="shared" ref="T108" si="35">IF(S108="","",0.5*(R108+S108))</f>
        <v/>
      </c>
    </row>
    <row r="109" spans="2:20" x14ac:dyDescent="0.3">
      <c r="B109" s="130"/>
      <c r="C109" s="5">
        <v>0.06</v>
      </c>
      <c r="D109" s="5">
        <v>4.0000000000000001E-3</v>
      </c>
      <c r="E109" s="5">
        <f t="shared" si="22"/>
        <v>3.4641016151377543E-3</v>
      </c>
      <c r="F109" s="5">
        <f t="shared" si="23"/>
        <v>5.7735026918962569E-4</v>
      </c>
      <c r="G109" s="5">
        <f t="shared" si="2"/>
        <v>5.7401919999999995E-2</v>
      </c>
      <c r="H109" s="5">
        <f t="shared" si="3"/>
        <v>5.5092519999999999E-2</v>
      </c>
      <c r="I109" s="5">
        <f t="shared" si="4"/>
        <v>5.5669871999999995E-2</v>
      </c>
      <c r="J109" s="5">
        <f t="shared" si="24"/>
        <v>2.4537200000000004E-3</v>
      </c>
      <c r="K109" s="5">
        <f t="shared" si="25"/>
        <v>2.1650800000000002E-3</v>
      </c>
      <c r="L109" s="5">
        <v>5.6000000000000001E-2</v>
      </c>
      <c r="M109" s="5">
        <f t="shared" si="26"/>
        <v>5.6247220000000001E-2</v>
      </c>
      <c r="N109" s="5">
        <f t="shared" si="27"/>
        <v>5.5092519999999999E-2</v>
      </c>
      <c r="O109" s="5">
        <f t="shared" si="28"/>
        <v>2.4848032491690073E-3</v>
      </c>
      <c r="P109" s="5">
        <f t="shared" si="28"/>
        <v>2.3838293214351325E-3</v>
      </c>
      <c r="Q109" s="132"/>
      <c r="R109" s="134"/>
      <c r="S109" s="132"/>
      <c r="T109" s="136"/>
    </row>
    <row r="110" spans="2:20" x14ac:dyDescent="0.3">
      <c r="B110" s="130"/>
      <c r="C110" s="5">
        <v>0.06</v>
      </c>
      <c r="D110" s="5">
        <v>3.0000000000000001E-3</v>
      </c>
      <c r="E110" s="5">
        <f t="shared" si="22"/>
        <v>2.5980762113533159E-3</v>
      </c>
      <c r="F110" s="5">
        <f t="shared" si="23"/>
        <v>4.3301270189221929E-4</v>
      </c>
      <c r="G110" s="5">
        <f t="shared" si="2"/>
        <v>5.8051439999999996E-2</v>
      </c>
      <c r="H110" s="5">
        <f t="shared" si="3"/>
        <v>5.6319389999999997E-2</v>
      </c>
      <c r="I110" s="5">
        <f t="shared" si="4"/>
        <v>5.6752403999999999E-2</v>
      </c>
      <c r="J110" s="5">
        <f t="shared" si="24"/>
        <v>1.8402900000000001E-3</v>
      </c>
      <c r="K110" s="5">
        <f t="shared" si="25"/>
        <v>1.6238100000000001E-3</v>
      </c>
      <c r="L110" s="5">
        <v>5.7000000000000002E-2</v>
      </c>
      <c r="M110" s="5">
        <f t="shared" si="26"/>
        <v>5.7185414999999996E-2</v>
      </c>
      <c r="N110" s="5">
        <f t="shared" si="27"/>
        <v>5.6319389999999997E-2</v>
      </c>
      <c r="O110" s="5">
        <f t="shared" si="28"/>
        <v>2.5683868383167673E-3</v>
      </c>
      <c r="P110" s="5">
        <f t="shared" si="28"/>
        <v>2.4911837706327743E-3</v>
      </c>
      <c r="Q110" s="132"/>
      <c r="R110" s="134"/>
      <c r="S110" s="132"/>
      <c r="T110" s="136"/>
    </row>
    <row r="111" spans="2:20" x14ac:dyDescent="0.3">
      <c r="B111" s="130"/>
      <c r="C111" s="5">
        <v>0.06</v>
      </c>
      <c r="D111" s="5">
        <v>2E-3</v>
      </c>
      <c r="E111" s="5">
        <f t="shared" si="22"/>
        <v>1.7320508075688772E-3</v>
      </c>
      <c r="F111" s="5">
        <f t="shared" si="23"/>
        <v>2.8867513459481284E-4</v>
      </c>
      <c r="G111" s="5">
        <f t="shared" si="2"/>
        <v>5.8700959999999996E-2</v>
      </c>
      <c r="H111" s="5">
        <f t="shared" si="3"/>
        <v>5.7546259999999995E-2</v>
      </c>
      <c r="I111" s="5">
        <f t="shared" si="4"/>
        <v>5.7834935999999997E-2</v>
      </c>
      <c r="J111" s="5">
        <f t="shared" si="24"/>
        <v>1.2268600000000002E-3</v>
      </c>
      <c r="K111" s="5">
        <f t="shared" si="25"/>
        <v>1.0825400000000001E-3</v>
      </c>
      <c r="L111" s="5">
        <v>5.8000000000000003E-2</v>
      </c>
      <c r="M111" s="5">
        <f t="shared" si="26"/>
        <v>5.8123609999999992E-2</v>
      </c>
      <c r="N111" s="5">
        <f t="shared" si="27"/>
        <v>5.7546259999999995E-2</v>
      </c>
      <c r="O111" s="5">
        <f t="shared" si="28"/>
        <v>2.6533530578763211E-3</v>
      </c>
      <c r="P111" s="5">
        <f t="shared" si="28"/>
        <v>2.6009025981646016E-3</v>
      </c>
      <c r="Q111" s="132"/>
      <c r="R111" s="134"/>
      <c r="S111" s="132"/>
      <c r="T111" s="136"/>
    </row>
    <row r="112" spans="2:20" x14ac:dyDescent="0.3">
      <c r="B112" s="130"/>
      <c r="C112" s="5">
        <v>0.06</v>
      </c>
      <c r="D112" s="5">
        <v>1.5E-3</v>
      </c>
      <c r="E112" s="5">
        <f t="shared" si="22"/>
        <v>1.2990381056766579E-3</v>
      </c>
      <c r="F112" s="5">
        <f t="shared" si="23"/>
        <v>2.1650635094610965E-4</v>
      </c>
      <c r="G112" s="5">
        <f t="shared" si="2"/>
        <v>5.9025719999999997E-2</v>
      </c>
      <c r="H112" s="5">
        <f t="shared" si="3"/>
        <v>5.8159694999999997E-2</v>
      </c>
      <c r="I112" s="5">
        <f t="shared" si="4"/>
        <v>5.8376201999999995E-2</v>
      </c>
      <c r="J112" s="5">
        <f t="shared" si="24"/>
        <v>9.2014500000000003E-4</v>
      </c>
      <c r="K112" s="5">
        <f t="shared" si="25"/>
        <v>8.1190500000000003E-4</v>
      </c>
      <c r="L112" s="5">
        <v>5.8500000000000003E-2</v>
      </c>
      <c r="M112" s="5">
        <f t="shared" si="26"/>
        <v>5.8592707499999994E-2</v>
      </c>
      <c r="N112" s="5">
        <f t="shared" si="27"/>
        <v>5.8159694999999997E-2</v>
      </c>
      <c r="O112" s="5">
        <f t="shared" si="28"/>
        <v>2.6963546540605217E-3</v>
      </c>
      <c r="P112" s="5">
        <f t="shared" si="28"/>
        <v>2.6566486538058352E-3</v>
      </c>
      <c r="Q112" s="132"/>
      <c r="R112" s="134"/>
      <c r="S112" s="132"/>
      <c r="T112" s="136"/>
    </row>
    <row r="113" spans="2:20" x14ac:dyDescent="0.3">
      <c r="B113" s="130" t="s">
        <v>55</v>
      </c>
      <c r="C113" s="5">
        <v>6.4000000000000001E-2</v>
      </c>
      <c r="D113" s="5">
        <v>6.0000000000000001E-3</v>
      </c>
      <c r="E113" s="5">
        <f t="shared" si="22"/>
        <v>5.1961524227066317E-3</v>
      </c>
      <c r="F113" s="5">
        <f t="shared" si="23"/>
        <v>8.6602540378443859E-4</v>
      </c>
      <c r="G113" s="5">
        <f t="shared" si="2"/>
        <v>6.0102880000000004E-2</v>
      </c>
      <c r="H113" s="5">
        <f t="shared" si="3"/>
        <v>5.663878E-2</v>
      </c>
      <c r="I113" s="5">
        <f t="shared" si="4"/>
        <v>5.7504808000000004E-2</v>
      </c>
      <c r="J113" s="5">
        <f t="shared" si="24"/>
        <v>3.6805800000000001E-3</v>
      </c>
      <c r="K113" s="5">
        <f t="shared" si="25"/>
        <v>3.2476200000000001E-3</v>
      </c>
      <c r="L113" s="5">
        <v>5.8000000000000003E-2</v>
      </c>
      <c r="M113" s="5">
        <f t="shared" si="26"/>
        <v>5.8370829999999999E-2</v>
      </c>
      <c r="N113" s="5">
        <f t="shared" si="27"/>
        <v>5.663878E-2</v>
      </c>
      <c r="O113" s="5">
        <f t="shared" si="28"/>
        <v>2.6759723329183882E-3</v>
      </c>
      <c r="P113" s="5">
        <f t="shared" si="28"/>
        <v>2.5195191377406223E-3</v>
      </c>
      <c r="Q113" s="132" t="s">
        <v>25</v>
      </c>
      <c r="R113" s="134">
        <f>IF(Q113="fine (H12)",0.066,IF(Q113="medium (H13)",0.07,IF(Q113="coarse (H14)",0.074)))</f>
        <v>6.6000000000000003E-2</v>
      </c>
      <c r="S113" s="132">
        <v>9.6000000000000002E-2</v>
      </c>
      <c r="T113" s="136">
        <f t="shared" ref="T113" si="36">IF(S113="","",0.5*(R113+S113))</f>
        <v>8.1000000000000003E-2</v>
      </c>
    </row>
    <row r="114" spans="2:20" x14ac:dyDescent="0.3">
      <c r="B114" s="130"/>
      <c r="C114" s="5">
        <v>6.4000000000000001E-2</v>
      </c>
      <c r="D114" s="5">
        <v>4.0000000000000001E-3</v>
      </c>
      <c r="E114" s="5">
        <f t="shared" si="22"/>
        <v>3.4641016151377543E-3</v>
      </c>
      <c r="F114" s="5">
        <f t="shared" si="23"/>
        <v>5.7735026918962569E-4</v>
      </c>
      <c r="G114" s="5">
        <f t="shared" si="2"/>
        <v>6.1401919999999999E-2</v>
      </c>
      <c r="H114" s="5">
        <f t="shared" si="3"/>
        <v>5.9092520000000003E-2</v>
      </c>
      <c r="I114" s="5">
        <f t="shared" si="4"/>
        <v>5.9669871999999999E-2</v>
      </c>
      <c r="J114" s="5">
        <f t="shared" si="24"/>
        <v>2.4537200000000004E-3</v>
      </c>
      <c r="K114" s="5">
        <f t="shared" si="25"/>
        <v>2.1650800000000002E-3</v>
      </c>
      <c r="L114" s="5">
        <v>0.06</v>
      </c>
      <c r="M114" s="5">
        <f t="shared" si="26"/>
        <v>6.0247220000000004E-2</v>
      </c>
      <c r="N114" s="5">
        <f t="shared" si="27"/>
        <v>5.9092520000000003E-2</v>
      </c>
      <c r="O114" s="5">
        <f t="shared" si="28"/>
        <v>2.8507813260570647E-3</v>
      </c>
      <c r="P114" s="5">
        <f t="shared" si="28"/>
        <v>2.7425522042489893E-3</v>
      </c>
      <c r="Q114" s="132"/>
      <c r="R114" s="134"/>
      <c r="S114" s="132"/>
      <c r="T114" s="136"/>
    </row>
    <row r="115" spans="2:20" x14ac:dyDescent="0.3">
      <c r="B115" s="130"/>
      <c r="C115" s="5">
        <v>6.4000000000000001E-2</v>
      </c>
      <c r="D115" s="5">
        <v>3.0000000000000001E-3</v>
      </c>
      <c r="E115" s="5">
        <f t="shared" si="22"/>
        <v>2.5980762113533159E-3</v>
      </c>
      <c r="F115" s="5">
        <f t="shared" si="23"/>
        <v>4.3301270189221929E-4</v>
      </c>
      <c r="G115" s="5">
        <f t="shared" si="2"/>
        <v>6.2051439999999999E-2</v>
      </c>
      <c r="H115" s="5">
        <f t="shared" si="3"/>
        <v>6.0319390000000001E-2</v>
      </c>
      <c r="I115" s="5">
        <f t="shared" si="4"/>
        <v>6.0752404000000003E-2</v>
      </c>
      <c r="J115" s="5">
        <f t="shared" si="24"/>
        <v>1.8402900000000001E-3</v>
      </c>
      <c r="K115" s="5">
        <f t="shared" si="25"/>
        <v>1.6238100000000001E-3</v>
      </c>
      <c r="L115" s="5">
        <v>6.0999999999999999E-2</v>
      </c>
      <c r="M115" s="5">
        <f t="shared" si="26"/>
        <v>6.1185415E-2</v>
      </c>
      <c r="N115" s="5">
        <f t="shared" si="27"/>
        <v>6.0319390000000001E-2</v>
      </c>
      <c r="O115" s="5">
        <f t="shared" si="28"/>
        <v>2.9402597682440935E-3</v>
      </c>
      <c r="P115" s="5">
        <f t="shared" si="28"/>
        <v>2.8576153050044509E-3</v>
      </c>
      <c r="Q115" s="132"/>
      <c r="R115" s="134"/>
      <c r="S115" s="132"/>
      <c r="T115" s="136"/>
    </row>
    <row r="116" spans="2:20" x14ac:dyDescent="0.3">
      <c r="B116" s="130"/>
      <c r="C116" s="5">
        <v>6.4000000000000001E-2</v>
      </c>
      <c r="D116" s="5">
        <v>2E-3</v>
      </c>
      <c r="E116" s="5">
        <f t="shared" si="22"/>
        <v>1.7320508075688772E-3</v>
      </c>
      <c r="F116" s="5">
        <f t="shared" si="23"/>
        <v>2.8867513459481284E-4</v>
      </c>
      <c r="G116" s="5">
        <f t="shared" si="2"/>
        <v>6.270096E-2</v>
      </c>
      <c r="H116" s="5">
        <f t="shared" si="3"/>
        <v>6.1546259999999998E-2</v>
      </c>
      <c r="I116" s="5">
        <f t="shared" si="4"/>
        <v>6.1834936E-2</v>
      </c>
      <c r="J116" s="5">
        <f t="shared" si="24"/>
        <v>1.2268600000000002E-3</v>
      </c>
      <c r="K116" s="5">
        <f t="shared" si="25"/>
        <v>1.0825400000000001E-3</v>
      </c>
      <c r="L116" s="5">
        <v>6.2E-2</v>
      </c>
      <c r="M116" s="5">
        <f t="shared" si="26"/>
        <v>6.2123609999999996E-2</v>
      </c>
      <c r="N116" s="5">
        <f t="shared" si="27"/>
        <v>6.1546259999999998E-2</v>
      </c>
      <c r="O116" s="5">
        <f t="shared" si="28"/>
        <v>3.031120840842917E-3</v>
      </c>
      <c r="P116" s="5">
        <f t="shared" si="28"/>
        <v>2.9750427840940976E-3</v>
      </c>
      <c r="Q116" s="132"/>
      <c r="R116" s="134"/>
      <c r="S116" s="132"/>
      <c r="T116" s="136"/>
    </row>
    <row r="117" spans="2:20" x14ac:dyDescent="0.3">
      <c r="B117" s="130"/>
      <c r="C117" s="5">
        <v>6.4000000000000001E-2</v>
      </c>
      <c r="D117" s="5">
        <v>1.5E-3</v>
      </c>
      <c r="E117" s="5">
        <f t="shared" si="22"/>
        <v>1.2990381056766579E-3</v>
      </c>
      <c r="F117" s="5">
        <f t="shared" si="23"/>
        <v>2.1650635094610965E-4</v>
      </c>
      <c r="G117" s="5">
        <f t="shared" si="2"/>
        <v>6.3025720000000007E-2</v>
      </c>
      <c r="H117" s="5">
        <f t="shared" si="3"/>
        <v>6.2159695000000001E-2</v>
      </c>
      <c r="I117" s="5">
        <f t="shared" si="4"/>
        <v>6.2376201999999999E-2</v>
      </c>
      <c r="J117" s="5">
        <f t="shared" si="24"/>
        <v>9.2014500000000003E-4</v>
      </c>
      <c r="K117" s="5">
        <f t="shared" si="25"/>
        <v>8.1190500000000003E-4</v>
      </c>
      <c r="L117" s="5">
        <v>6.25E-2</v>
      </c>
      <c r="M117" s="5">
        <f t="shared" si="26"/>
        <v>6.2592707500000011E-2</v>
      </c>
      <c r="N117" s="5">
        <f t="shared" si="27"/>
        <v>6.2159695000000001E-2</v>
      </c>
      <c r="O117" s="5">
        <f t="shared" si="28"/>
        <v>3.0770698635467536E-3</v>
      </c>
      <c r="P117" s="5">
        <f t="shared" si="28"/>
        <v>3.0346431655142408E-3</v>
      </c>
      <c r="Q117" s="132"/>
      <c r="R117" s="134"/>
      <c r="S117" s="132"/>
      <c r="T117" s="136"/>
    </row>
    <row r="118" spans="2:20" x14ac:dyDescent="0.3">
      <c r="B118" s="137" t="s">
        <v>56</v>
      </c>
      <c r="C118" s="5">
        <v>6.8000000000000005E-2</v>
      </c>
      <c r="D118" s="5">
        <v>6.0000000000000001E-3</v>
      </c>
      <c r="E118" s="5">
        <f t="shared" si="22"/>
        <v>5.1961524227066317E-3</v>
      </c>
      <c r="F118" s="5">
        <f t="shared" si="23"/>
        <v>8.6602540378443859E-4</v>
      </c>
      <c r="G118" s="5">
        <f t="shared" si="2"/>
        <v>6.4102880000000001E-2</v>
      </c>
      <c r="H118" s="5">
        <f t="shared" si="3"/>
        <v>6.0638780000000003E-2</v>
      </c>
      <c r="I118" s="5">
        <f t="shared" si="4"/>
        <v>6.1504808000000008E-2</v>
      </c>
      <c r="J118" s="5">
        <f t="shared" si="24"/>
        <v>3.6805800000000001E-3</v>
      </c>
      <c r="K118" s="5">
        <f t="shared" si="25"/>
        <v>3.2476200000000001E-3</v>
      </c>
      <c r="L118" s="5">
        <v>6.2E-2</v>
      </c>
      <c r="M118" s="5">
        <f t="shared" si="26"/>
        <v>6.2370830000000002E-2</v>
      </c>
      <c r="N118" s="5">
        <f t="shared" si="27"/>
        <v>6.0638780000000003E-2</v>
      </c>
      <c r="O118" s="5">
        <f t="shared" si="28"/>
        <v>3.0552934449566251E-3</v>
      </c>
      <c r="P118" s="5">
        <f t="shared" si="28"/>
        <v>2.8879574586675588E-3</v>
      </c>
      <c r="Q118" s="132" t="s">
        <v>25</v>
      </c>
      <c r="R118" s="134">
        <f>IF(Q118="fine (H12)",0.07,IF(Q118="medium (H13)",0.074,IF(Q118="coarse (H14)",0.078)))</f>
        <v>7.0000000000000007E-2</v>
      </c>
      <c r="S118" s="132"/>
      <c r="T118" s="136" t="str">
        <f t="shared" ref="T118" si="37">IF(S118="","",0.5*(R118+S118))</f>
        <v/>
      </c>
    </row>
    <row r="119" spans="2:20" x14ac:dyDescent="0.3">
      <c r="B119" s="137"/>
      <c r="C119" s="5">
        <v>6.8000000000000005E-2</v>
      </c>
      <c r="D119" s="5">
        <v>4.0000000000000001E-3</v>
      </c>
      <c r="E119" s="5">
        <f t="shared" si="22"/>
        <v>3.4641016151377543E-3</v>
      </c>
      <c r="F119" s="5">
        <f t="shared" si="23"/>
        <v>5.7735026918962569E-4</v>
      </c>
      <c r="G119" s="5">
        <f t="shared" si="2"/>
        <v>6.5401920000000002E-2</v>
      </c>
      <c r="H119" s="5">
        <f t="shared" si="3"/>
        <v>6.3092519999999999E-2</v>
      </c>
      <c r="I119" s="5">
        <f t="shared" si="4"/>
        <v>6.3669872000000002E-2</v>
      </c>
      <c r="J119" s="5">
        <f t="shared" si="24"/>
        <v>2.4537200000000004E-3</v>
      </c>
      <c r="K119" s="5">
        <f t="shared" si="25"/>
        <v>2.1650800000000002E-3</v>
      </c>
      <c r="L119" s="5">
        <v>6.4000000000000001E-2</v>
      </c>
      <c r="M119" s="5">
        <f t="shared" si="26"/>
        <v>6.4247219999999994E-2</v>
      </c>
      <c r="N119" s="5">
        <f t="shared" si="27"/>
        <v>6.3092519999999999E-2</v>
      </c>
      <c r="O119" s="5">
        <f t="shared" si="28"/>
        <v>3.2418921441738388E-3</v>
      </c>
      <c r="P119" s="5">
        <f t="shared" si="28"/>
        <v>3.1264078282915637E-3</v>
      </c>
      <c r="Q119" s="132"/>
      <c r="R119" s="134"/>
      <c r="S119" s="132"/>
      <c r="T119" s="136"/>
    </row>
    <row r="120" spans="2:20" x14ac:dyDescent="0.3">
      <c r="B120" s="137"/>
      <c r="C120" s="5">
        <v>6.8000000000000005E-2</v>
      </c>
      <c r="D120" s="5">
        <v>3.0000000000000001E-3</v>
      </c>
      <c r="E120" s="5">
        <f t="shared" si="22"/>
        <v>2.5980762113533159E-3</v>
      </c>
      <c r="F120" s="5">
        <f t="shared" si="23"/>
        <v>4.3301270189221929E-4</v>
      </c>
      <c r="G120" s="5">
        <f t="shared" si="2"/>
        <v>6.6051440000000003E-2</v>
      </c>
      <c r="H120" s="5">
        <f t="shared" si="3"/>
        <v>6.4319390000000004E-2</v>
      </c>
      <c r="I120" s="5">
        <f t="shared" si="4"/>
        <v>6.4752404E-2</v>
      </c>
      <c r="J120" s="5">
        <f t="shared" si="24"/>
        <v>1.8402900000000001E-3</v>
      </c>
      <c r="K120" s="5">
        <f t="shared" si="25"/>
        <v>1.6238100000000001E-3</v>
      </c>
      <c r="L120" s="5">
        <v>6.5000000000000002E-2</v>
      </c>
      <c r="M120" s="5">
        <f t="shared" si="26"/>
        <v>6.5185414999999997E-2</v>
      </c>
      <c r="N120" s="5">
        <f t="shared" si="27"/>
        <v>6.4319390000000004E-2</v>
      </c>
      <c r="O120" s="5">
        <f t="shared" si="28"/>
        <v>3.3372654394001377E-3</v>
      </c>
      <c r="P120" s="5">
        <f t="shared" si="28"/>
        <v>3.2491795806048455E-3</v>
      </c>
      <c r="Q120" s="132"/>
      <c r="R120" s="134"/>
      <c r="S120" s="132"/>
      <c r="T120" s="136"/>
    </row>
    <row r="121" spans="2:20" x14ac:dyDescent="0.3">
      <c r="B121" s="137"/>
      <c r="C121" s="5">
        <v>6.8000000000000005E-2</v>
      </c>
      <c r="D121" s="5">
        <v>2E-3</v>
      </c>
      <c r="E121" s="5">
        <f t="shared" si="22"/>
        <v>1.7320508075688772E-3</v>
      </c>
      <c r="F121" s="5">
        <f t="shared" si="23"/>
        <v>2.8867513459481284E-4</v>
      </c>
      <c r="G121" s="5">
        <f t="shared" si="2"/>
        <v>6.6700960000000004E-2</v>
      </c>
      <c r="H121" s="5">
        <f t="shared" si="3"/>
        <v>6.5546260000000009E-2</v>
      </c>
      <c r="I121" s="5">
        <f t="shared" si="4"/>
        <v>6.5834936000000011E-2</v>
      </c>
      <c r="J121" s="5">
        <f t="shared" si="24"/>
        <v>1.2268600000000002E-3</v>
      </c>
      <c r="K121" s="5">
        <f t="shared" si="25"/>
        <v>1.0825400000000001E-3</v>
      </c>
      <c r="L121" s="5">
        <v>6.6000000000000003E-2</v>
      </c>
      <c r="M121" s="5">
        <f t="shared" si="26"/>
        <v>6.6123609999999999E-2</v>
      </c>
      <c r="N121" s="5">
        <f t="shared" si="27"/>
        <v>6.5546260000000009E-2</v>
      </c>
      <c r="O121" s="5">
        <f t="shared" si="28"/>
        <v>3.4340213650382312E-3</v>
      </c>
      <c r="P121" s="5">
        <f t="shared" si="28"/>
        <v>3.3743157112523124E-3</v>
      </c>
      <c r="Q121" s="132"/>
      <c r="R121" s="134"/>
      <c r="S121" s="132"/>
      <c r="T121" s="136"/>
    </row>
    <row r="122" spans="2:20" x14ac:dyDescent="0.3">
      <c r="B122" s="137"/>
      <c r="C122" s="5">
        <v>6.8000000000000005E-2</v>
      </c>
      <c r="D122" s="5">
        <v>1.5E-3</v>
      </c>
      <c r="E122" s="5">
        <f t="shared" si="22"/>
        <v>1.2990381056766579E-3</v>
      </c>
      <c r="F122" s="5">
        <f t="shared" si="23"/>
        <v>2.1650635094610965E-4</v>
      </c>
      <c r="G122" s="5">
        <f t="shared" si="2"/>
        <v>6.7025720000000011E-2</v>
      </c>
      <c r="H122" s="5">
        <f t="shared" si="3"/>
        <v>6.6159695000000004E-2</v>
      </c>
      <c r="I122" s="5">
        <f t="shared" si="4"/>
        <v>6.6376202000000009E-2</v>
      </c>
      <c r="J122" s="5">
        <f t="shared" si="24"/>
        <v>9.2014500000000003E-4</v>
      </c>
      <c r="K122" s="5">
        <f t="shared" si="25"/>
        <v>8.1190500000000003E-4</v>
      </c>
      <c r="L122" s="5">
        <v>6.6500000000000004E-2</v>
      </c>
      <c r="M122" s="5">
        <f t="shared" si="26"/>
        <v>6.6592707500000015E-2</v>
      </c>
      <c r="N122" s="5">
        <f t="shared" si="27"/>
        <v>6.6159695000000004E-2</v>
      </c>
      <c r="O122" s="5">
        <f t="shared" si="28"/>
        <v>3.4829178142617026E-3</v>
      </c>
      <c r="P122" s="5">
        <f t="shared" si="28"/>
        <v>3.4377704184513649E-3</v>
      </c>
      <c r="Q122" s="132"/>
      <c r="R122" s="134"/>
      <c r="S122" s="132"/>
      <c r="T122" s="136"/>
    </row>
  </sheetData>
  <mergeCells count="161">
    <mergeCell ref="B103:B107"/>
    <mergeCell ref="Q103:Q107"/>
    <mergeCell ref="R103:R107"/>
    <mergeCell ref="S103:S107"/>
    <mergeCell ref="T103:T107"/>
    <mergeCell ref="B118:B122"/>
    <mergeCell ref="Q118:Q122"/>
    <mergeCell ref="R118:R122"/>
    <mergeCell ref="S118:S122"/>
    <mergeCell ref="T118:T122"/>
    <mergeCell ref="B108:B112"/>
    <mergeCell ref="Q108:Q112"/>
    <mergeCell ref="R108:R112"/>
    <mergeCell ref="S108:S112"/>
    <mergeCell ref="T108:T112"/>
    <mergeCell ref="B113:B117"/>
    <mergeCell ref="Q113:Q117"/>
    <mergeCell ref="R113:R117"/>
    <mergeCell ref="S113:S117"/>
    <mergeCell ref="T113:T117"/>
    <mergeCell ref="B93:B97"/>
    <mergeCell ref="Q93:Q97"/>
    <mergeCell ref="R93:R97"/>
    <mergeCell ref="S93:S97"/>
    <mergeCell ref="T93:T97"/>
    <mergeCell ref="B98:B102"/>
    <mergeCell ref="Q98:Q102"/>
    <mergeCell ref="R98:R102"/>
    <mergeCell ref="S98:S102"/>
    <mergeCell ref="T98:T102"/>
    <mergeCell ref="B84:B87"/>
    <mergeCell ref="Q84:Q87"/>
    <mergeCell ref="R84:R87"/>
    <mergeCell ref="S84:S87"/>
    <mergeCell ref="T84:T87"/>
    <mergeCell ref="B88:B92"/>
    <mergeCell ref="Q88:Q92"/>
    <mergeCell ref="R88:R92"/>
    <mergeCell ref="S88:S92"/>
    <mergeCell ref="T88:T92"/>
    <mergeCell ref="B76:B79"/>
    <mergeCell ref="Q76:Q79"/>
    <mergeCell ref="R76:R79"/>
    <mergeCell ref="S76:S79"/>
    <mergeCell ref="T76:T79"/>
    <mergeCell ref="B80:B83"/>
    <mergeCell ref="Q80:Q83"/>
    <mergeCell ref="R80:R83"/>
    <mergeCell ref="S80:S83"/>
    <mergeCell ref="T80:T83"/>
    <mergeCell ref="B68:B71"/>
    <mergeCell ref="Q68:Q71"/>
    <mergeCell ref="R68:R71"/>
    <mergeCell ref="S68:S71"/>
    <mergeCell ref="T68:T71"/>
    <mergeCell ref="B72:B75"/>
    <mergeCell ref="Q72:Q75"/>
    <mergeCell ref="R72:R75"/>
    <mergeCell ref="S72:S75"/>
    <mergeCell ref="T72:T75"/>
    <mergeCell ref="B61:B64"/>
    <mergeCell ref="Q61:Q64"/>
    <mergeCell ref="R61:R64"/>
    <mergeCell ref="S61:S64"/>
    <mergeCell ref="T61:T64"/>
    <mergeCell ref="B65:B67"/>
    <mergeCell ref="Q65:Q67"/>
    <mergeCell ref="R65:R67"/>
    <mergeCell ref="S65:S67"/>
    <mergeCell ref="T65:T67"/>
    <mergeCell ref="B53:B56"/>
    <mergeCell ref="Q53:Q56"/>
    <mergeCell ref="R53:R56"/>
    <mergeCell ref="S53:S56"/>
    <mergeCell ref="T53:T56"/>
    <mergeCell ref="B57:B60"/>
    <mergeCell ref="Q57:Q60"/>
    <mergeCell ref="R57:R60"/>
    <mergeCell ref="S57:S60"/>
    <mergeCell ref="T57:T60"/>
    <mergeCell ref="B46:B48"/>
    <mergeCell ref="Q46:Q48"/>
    <mergeCell ref="R46:R48"/>
    <mergeCell ref="S46:S48"/>
    <mergeCell ref="T46:T48"/>
    <mergeCell ref="B49:B52"/>
    <mergeCell ref="Q49:Q52"/>
    <mergeCell ref="R49:R52"/>
    <mergeCell ref="S49:S52"/>
    <mergeCell ref="T49:T52"/>
    <mergeCell ref="B38:B41"/>
    <mergeCell ref="Q38:Q41"/>
    <mergeCell ref="R38:R41"/>
    <mergeCell ref="S38:S41"/>
    <mergeCell ref="T38:T41"/>
    <mergeCell ref="B42:B45"/>
    <mergeCell ref="Q42:Q45"/>
    <mergeCell ref="R42:R45"/>
    <mergeCell ref="S42:S45"/>
    <mergeCell ref="T42:T45"/>
    <mergeCell ref="B31:B33"/>
    <mergeCell ref="Q31:Q33"/>
    <mergeCell ref="R31:R33"/>
    <mergeCell ref="S31:S33"/>
    <mergeCell ref="T31:T33"/>
    <mergeCell ref="B34:B37"/>
    <mergeCell ref="Q34:Q37"/>
    <mergeCell ref="R34:R37"/>
    <mergeCell ref="S34:S37"/>
    <mergeCell ref="T34:T37"/>
    <mergeCell ref="B25:B27"/>
    <mergeCell ref="Q25:Q27"/>
    <mergeCell ref="R25:R27"/>
    <mergeCell ref="S25:S27"/>
    <mergeCell ref="T25:T27"/>
    <mergeCell ref="B28:B30"/>
    <mergeCell ref="Q28:Q30"/>
    <mergeCell ref="R28:R30"/>
    <mergeCell ref="S28:S30"/>
    <mergeCell ref="T28:T30"/>
    <mergeCell ref="B20:B22"/>
    <mergeCell ref="Q20:Q22"/>
    <mergeCell ref="R20:R22"/>
    <mergeCell ref="S20:S22"/>
    <mergeCell ref="T20:T22"/>
    <mergeCell ref="B23:B24"/>
    <mergeCell ref="Q23:Q24"/>
    <mergeCell ref="R23:R24"/>
    <mergeCell ref="S23:S24"/>
    <mergeCell ref="T23:T24"/>
    <mergeCell ref="B16:B17"/>
    <mergeCell ref="Q16:Q17"/>
    <mergeCell ref="R16:R17"/>
    <mergeCell ref="S16:S17"/>
    <mergeCell ref="T16:T17"/>
    <mergeCell ref="B18:B19"/>
    <mergeCell ref="Q18:Q19"/>
    <mergeCell ref="R18:R19"/>
    <mergeCell ref="S18:S19"/>
    <mergeCell ref="T18:T19"/>
    <mergeCell ref="B12:B13"/>
    <mergeCell ref="Q12:Q13"/>
    <mergeCell ref="R12:R13"/>
    <mergeCell ref="S12:S13"/>
    <mergeCell ref="T12:T13"/>
    <mergeCell ref="B14:B15"/>
    <mergeCell ref="Q14:Q15"/>
    <mergeCell ref="R14:R15"/>
    <mergeCell ref="S14:S15"/>
    <mergeCell ref="T14:T15"/>
    <mergeCell ref="A1:G3"/>
    <mergeCell ref="B8:B9"/>
    <mergeCell ref="Q8:Q9"/>
    <mergeCell ref="R8:R9"/>
    <mergeCell ref="S8:S9"/>
    <mergeCell ref="T8:T9"/>
    <mergeCell ref="B10:B11"/>
    <mergeCell ref="Q10:Q11"/>
    <mergeCell ref="R10:R11"/>
    <mergeCell ref="S10:S11"/>
    <mergeCell ref="T10:T11"/>
  </mergeCells>
  <dataValidations count="2">
    <dataValidation type="list" allowBlank="1" showInputMessage="1" showErrorMessage="1" sqref="Q8:Q20 Q23:Q25 Q28 Q31:Q34 Q38 Q42 Q46:Q49 Q53 Q57 Q61 Q65:Q68 Q72 Q76 Q80 Q84:Q88 Q93 Q98 Q103 Q108 Q113 Q118" xr:uid="{AD27A0F4-1B7C-497B-875A-88F10A0183EB}">
      <formula1>"fine (H12), medium (H13), coarse (H14)"</formula1>
    </dataValidation>
    <dataValidation type="list" allowBlank="1" showInputMessage="1" showErrorMessage="1" sqref="J125" xr:uid="{C6C7B796-187E-4FC2-A83A-2508733F6F87}">
      <formula1>"H11, H12, H13"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6C30D-B9F3-4605-9B19-46DD06092877}">
  <dimension ref="A1:P24"/>
  <sheetViews>
    <sheetView zoomScale="85" zoomScaleNormal="85" workbookViewId="0">
      <pane xSplit="1" topLeftCell="B1" activePane="topRight" state="frozen"/>
      <selection pane="topRight" activeCell="D43" sqref="D43"/>
    </sheetView>
  </sheetViews>
  <sheetFormatPr baseColWidth="10" defaultColWidth="11.44140625" defaultRowHeight="14.4" x14ac:dyDescent="0.3"/>
  <cols>
    <col min="11" max="11" width="12" bestFit="1" customWidth="1"/>
    <col min="15" max="15" width="16" hidden="1" customWidth="1"/>
  </cols>
  <sheetData>
    <row r="1" spans="1:16" ht="28.8" x14ac:dyDescent="0.3">
      <c r="A1" s="2" t="s">
        <v>2</v>
      </c>
      <c r="B1" s="3" t="s">
        <v>3</v>
      </c>
      <c r="C1" s="3" t="s">
        <v>4</v>
      </c>
      <c r="D1" s="3" t="s">
        <v>5</v>
      </c>
      <c r="E1" s="3" t="s">
        <v>57</v>
      </c>
      <c r="F1" s="3" t="s">
        <v>7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</row>
    <row r="2" spans="1:16" x14ac:dyDescent="0.3">
      <c r="A2" s="6" t="s">
        <v>58</v>
      </c>
      <c r="B2" s="5">
        <v>1.6000000000000001E-3</v>
      </c>
      <c r="C2" s="5">
        <v>3.5E-4</v>
      </c>
      <c r="D2" s="5">
        <f>(SQRT(3)/2)*C2</f>
        <v>3.0310889132455351E-4</v>
      </c>
      <c r="E2" s="5">
        <f>0.165265*C2</f>
        <v>5.7842749999999998E-5</v>
      </c>
      <c r="F2" s="5">
        <f>B2-0.64952*C2</f>
        <v>1.3726680000000001E-3</v>
      </c>
      <c r="G2" s="5">
        <f>B2-1.22687*C2</f>
        <v>1.1705955000000001E-3</v>
      </c>
      <c r="H2" s="5">
        <f>B2-0.97428*C2</f>
        <v>1.259002E-3</v>
      </c>
      <c r="I2" s="5">
        <f>0.5625*C2</f>
        <v>1.96875E-4</v>
      </c>
      <c r="J2" s="5">
        <v>1.25E-3</v>
      </c>
      <c r="K2" s="5">
        <f t="shared" ref="K2:K24" si="0">SQRT((G2^2)*(2-(G2/F2)^2))</f>
        <v>1.3206225314350874E-3</v>
      </c>
      <c r="L2" s="5">
        <f>G2</f>
        <v>1.1705955000000001E-3</v>
      </c>
      <c r="M2" s="5">
        <f>0.25*PI()*K2^2</f>
        <v>1.369768852801995E-6</v>
      </c>
      <c r="N2" s="5">
        <f t="shared" ref="N2:N17" si="1">0.25*PI()*L2^2</f>
        <v>1.0762262531716097E-6</v>
      </c>
      <c r="O2" s="7" t="s">
        <v>25</v>
      </c>
      <c r="P2" s="8">
        <f>IF(O2="fine (H12)",0.0017,IF(O2="medium (H13)",0.0018,IF(O2="coarse (H14)",0.002)))</f>
        <v>1.6999999999999999E-3</v>
      </c>
    </row>
    <row r="3" spans="1:16" x14ac:dyDescent="0.3">
      <c r="A3" t="s">
        <v>59</v>
      </c>
      <c r="B3" s="10">
        <v>2E-3</v>
      </c>
      <c r="C3" s="5">
        <v>4.0000000000000002E-4</v>
      </c>
      <c r="D3" s="5">
        <f t="shared" ref="D3:D24" si="2">(SQRT(3)/2)*C3</f>
        <v>3.4641016151377546E-4</v>
      </c>
      <c r="E3" s="5">
        <f t="shared" ref="E3:E24" si="3">0.165265*C3</f>
        <v>6.6106000000000007E-5</v>
      </c>
      <c r="F3" s="5">
        <f t="shared" ref="F3:F24" si="4">B3-0.64952*C3</f>
        <v>1.740192E-3</v>
      </c>
      <c r="G3" s="5">
        <f t="shared" ref="G3:G24" si="5">B3-1.22687*C3</f>
        <v>1.509252E-3</v>
      </c>
      <c r="H3" s="5">
        <f t="shared" ref="H3:H24" si="6">B3-0.97428*C3</f>
        <v>1.6102880000000001E-3</v>
      </c>
      <c r="I3" s="5">
        <f t="shared" ref="I3:I24" si="7">0.5625*C3</f>
        <v>2.2500000000000002E-4</v>
      </c>
      <c r="J3" s="5">
        <v>1.6000000000000001E-3</v>
      </c>
      <c r="K3" s="5">
        <f t="shared" si="0"/>
        <v>1.6859143214178654E-3</v>
      </c>
      <c r="L3" s="5">
        <f t="shared" ref="L3:L24" si="8">G3</f>
        <v>1.509252E-3</v>
      </c>
      <c r="M3" s="5">
        <f t="shared" ref="M3:N24" si="9">0.25*PI()*K3^2</f>
        <v>2.2323427754932549E-6</v>
      </c>
      <c r="N3" s="5">
        <f t="shared" si="1"/>
        <v>1.7890126087607475E-6</v>
      </c>
      <c r="O3" s="7" t="s">
        <v>25</v>
      </c>
      <c r="P3" s="8">
        <f>IF(O3="fine (H12)",0.0022,IF(O3="medium (H13)",0.0024,IF(O3="coarse (H14)",0.0026)))</f>
        <v>2.2000000000000001E-3</v>
      </c>
    </row>
    <row r="4" spans="1:16" x14ac:dyDescent="0.3">
      <c r="A4" t="s">
        <v>60</v>
      </c>
      <c r="B4" s="10">
        <v>2.5000000000000001E-3</v>
      </c>
      <c r="C4" s="5">
        <v>4.4999999999999999E-4</v>
      </c>
      <c r="D4" s="5">
        <f t="shared" si="2"/>
        <v>3.8971143170299735E-4</v>
      </c>
      <c r="E4" s="5">
        <f t="shared" si="3"/>
        <v>7.4369249999999996E-5</v>
      </c>
      <c r="F4" s="5">
        <f t="shared" si="4"/>
        <v>2.2077160000000002E-3</v>
      </c>
      <c r="G4" s="5">
        <f t="shared" si="5"/>
        <v>1.9479085000000001E-3</v>
      </c>
      <c r="H4" s="5">
        <f t="shared" si="6"/>
        <v>2.061574E-3</v>
      </c>
      <c r="I4" s="5">
        <f t="shared" si="7"/>
        <v>2.5312499999999999E-4</v>
      </c>
      <c r="J4" s="5">
        <v>2.0500000000000002E-3</v>
      </c>
      <c r="K4" s="5">
        <f t="shared" si="0"/>
        <v>2.1528700334776819E-3</v>
      </c>
      <c r="L4" s="5">
        <f t="shared" si="8"/>
        <v>1.9479085000000001E-3</v>
      </c>
      <c r="M4" s="5">
        <f t="shared" si="9"/>
        <v>3.6402021914974814E-6</v>
      </c>
      <c r="N4" s="5">
        <f t="shared" si="1"/>
        <v>2.98007357693362E-6</v>
      </c>
      <c r="O4" s="7" t="s">
        <v>25</v>
      </c>
      <c r="P4" s="8">
        <f>IF(O4="fine (H12)",0.0027,IF(O4="medium (H13)",0.0029,IF(O4="coarse (H14)",0.0031)))</f>
        <v>2.7000000000000001E-3</v>
      </c>
    </row>
    <row r="5" spans="1:16" x14ac:dyDescent="0.3">
      <c r="A5" t="s">
        <v>61</v>
      </c>
      <c r="B5" s="10">
        <v>3.0000000000000001E-3</v>
      </c>
      <c r="C5" s="5">
        <v>5.0000000000000001E-4</v>
      </c>
      <c r="D5" s="5">
        <f t="shared" si="2"/>
        <v>4.3301270189221929E-4</v>
      </c>
      <c r="E5" s="5">
        <f t="shared" si="3"/>
        <v>8.2632499999999999E-5</v>
      </c>
      <c r="F5" s="5">
        <f t="shared" si="4"/>
        <v>2.6752400000000002E-3</v>
      </c>
      <c r="G5" s="5">
        <f t="shared" si="5"/>
        <v>2.3865650000000002E-3</v>
      </c>
      <c r="H5" s="5">
        <f t="shared" si="6"/>
        <v>2.51286E-3</v>
      </c>
      <c r="I5" s="5">
        <f t="shared" si="7"/>
        <v>2.8125000000000003E-4</v>
      </c>
      <c r="J5" s="5">
        <v>2.5000000000000001E-3</v>
      </c>
      <c r="K5" s="5">
        <f t="shared" si="0"/>
        <v>2.6188880131705447E-3</v>
      </c>
      <c r="L5" s="5">
        <f t="shared" si="8"/>
        <v>2.3865650000000002E-3</v>
      </c>
      <c r="M5" s="5">
        <f t="shared" si="9"/>
        <v>5.3867117573346854E-6</v>
      </c>
      <c r="N5" s="5">
        <f t="shared" si="1"/>
        <v>4.4733864281679384E-6</v>
      </c>
      <c r="O5" s="7" t="s">
        <v>25</v>
      </c>
      <c r="P5" s="8">
        <f>IF(O5="fine (H12)",0.0032,IF(O5="medium (H13)",0.0034,IF(O5="coarse (H14)",0.0036)))</f>
        <v>3.2000000000000002E-3</v>
      </c>
    </row>
    <row r="6" spans="1:16" x14ac:dyDescent="0.3">
      <c r="A6" t="s">
        <v>62</v>
      </c>
      <c r="B6" s="10">
        <v>3.5000000000000001E-3</v>
      </c>
      <c r="C6" s="5">
        <v>5.9999999999999995E-4</v>
      </c>
      <c r="D6" s="5">
        <f t="shared" si="2"/>
        <v>5.1961524227066313E-4</v>
      </c>
      <c r="E6" s="5">
        <f t="shared" si="3"/>
        <v>9.915899999999999E-5</v>
      </c>
      <c r="F6" s="5">
        <f t="shared" si="4"/>
        <v>3.1102880000000001E-3</v>
      </c>
      <c r="G6" s="5">
        <f t="shared" si="5"/>
        <v>2.763878E-3</v>
      </c>
      <c r="H6" s="5">
        <f t="shared" si="6"/>
        <v>2.9154319999999999E-3</v>
      </c>
      <c r="I6" s="5">
        <f t="shared" si="7"/>
        <v>3.3749999999999996E-4</v>
      </c>
      <c r="J6" s="5">
        <v>2.8999999999999998E-3</v>
      </c>
      <c r="K6" s="5">
        <f t="shared" si="0"/>
        <v>3.0407011624231542E-3</v>
      </c>
      <c r="L6" s="5">
        <f t="shared" si="8"/>
        <v>2.763878E-3</v>
      </c>
      <c r="M6" s="5">
        <f t="shared" si="9"/>
        <v>7.2616842583888522E-6</v>
      </c>
      <c r="N6" s="5">
        <f t="shared" si="1"/>
        <v>5.9996735339169326E-6</v>
      </c>
      <c r="O6" s="7" t="s">
        <v>25</v>
      </c>
      <c r="P6" s="8">
        <f>IF(O6="fine (H12)",0.0037,IF(O6="medium (H13)",0.0039,IF(O6="coarse (H14)",0.0042)))</f>
        <v>3.7000000000000002E-3</v>
      </c>
    </row>
    <row r="7" spans="1:16" x14ac:dyDescent="0.3">
      <c r="A7" t="s">
        <v>63</v>
      </c>
      <c r="B7" s="10">
        <v>4.0000000000000001E-3</v>
      </c>
      <c r="C7" s="5">
        <v>6.9999999999999999E-4</v>
      </c>
      <c r="D7" s="5">
        <f t="shared" si="2"/>
        <v>6.0621778264910702E-4</v>
      </c>
      <c r="E7" s="5">
        <f t="shared" si="3"/>
        <v>1.156855E-4</v>
      </c>
      <c r="F7" s="5">
        <f t="shared" si="4"/>
        <v>3.5453360000000001E-3</v>
      </c>
      <c r="G7" s="5">
        <f t="shared" si="5"/>
        <v>3.1411910000000002E-3</v>
      </c>
      <c r="H7" s="5">
        <f t="shared" si="6"/>
        <v>3.3180040000000003E-3</v>
      </c>
      <c r="I7" s="5">
        <f t="shared" si="7"/>
        <v>3.9375E-4</v>
      </c>
      <c r="J7" s="5">
        <v>3.3E-3</v>
      </c>
      <c r="K7" s="5">
        <f t="shared" si="0"/>
        <v>3.4624309136284622E-3</v>
      </c>
      <c r="L7" s="5">
        <f t="shared" si="8"/>
        <v>3.1411910000000002E-3</v>
      </c>
      <c r="M7" s="5">
        <f t="shared" si="9"/>
        <v>9.4156892010007848E-6</v>
      </c>
      <c r="N7" s="5">
        <f t="shared" si="1"/>
        <v>7.749587215761022E-6</v>
      </c>
      <c r="O7" s="7" t="s">
        <v>25</v>
      </c>
      <c r="P7" s="8">
        <f>IF(O7="fine (H12)",0.0043,IF(O7="medium (H13)",0.0045,IF(O7="coarse (H14)",0.0048)))</f>
        <v>4.3E-3</v>
      </c>
    </row>
    <row r="8" spans="1:16" x14ac:dyDescent="0.3">
      <c r="A8" t="s">
        <v>64</v>
      </c>
      <c r="B8" s="10">
        <v>5.0000000000000001E-3</v>
      </c>
      <c r="C8" s="5">
        <v>8.0000000000000004E-4</v>
      </c>
      <c r="D8" s="5">
        <f t="shared" si="2"/>
        <v>6.9282032302755091E-4</v>
      </c>
      <c r="E8" s="5">
        <f t="shared" si="3"/>
        <v>1.3221200000000001E-4</v>
      </c>
      <c r="F8" s="5">
        <f t="shared" si="4"/>
        <v>4.4803840000000004E-3</v>
      </c>
      <c r="G8" s="5">
        <f t="shared" si="5"/>
        <v>4.018504E-3</v>
      </c>
      <c r="H8" s="5">
        <f t="shared" si="6"/>
        <v>4.2205760000000002E-3</v>
      </c>
      <c r="I8" s="5">
        <f t="shared" si="7"/>
        <v>4.5000000000000004E-4</v>
      </c>
      <c r="J8" s="5">
        <v>4.1999999999999997E-3</v>
      </c>
      <c r="K8" s="5">
        <f t="shared" si="0"/>
        <v>4.3938833154328234E-3</v>
      </c>
      <c r="L8" s="5">
        <f t="shared" si="8"/>
        <v>4.018504E-3</v>
      </c>
      <c r="M8" s="5">
        <f t="shared" si="9"/>
        <v>1.516306233926679E-5</v>
      </c>
      <c r="N8" s="5">
        <f t="shared" si="1"/>
        <v>1.2682903594056141E-5</v>
      </c>
      <c r="O8" s="7" t="s">
        <v>25</v>
      </c>
      <c r="P8" s="8">
        <f>IF(O8="fine (H12)",0.0053,IF(O8="medium (H13)",0.0055,IF(O8="coarse (H14)",0.0058)))</f>
        <v>5.3E-3</v>
      </c>
    </row>
    <row r="9" spans="1:16" x14ac:dyDescent="0.3">
      <c r="A9" t="s">
        <v>65</v>
      </c>
      <c r="B9" s="10">
        <v>6.0000000000000001E-3</v>
      </c>
      <c r="C9" s="5">
        <v>1E-3</v>
      </c>
      <c r="D9" s="5">
        <f t="shared" si="2"/>
        <v>8.6602540378443859E-4</v>
      </c>
      <c r="E9" s="5">
        <f t="shared" si="3"/>
        <v>1.65265E-4</v>
      </c>
      <c r="F9" s="5">
        <f t="shared" si="4"/>
        <v>5.3504800000000003E-3</v>
      </c>
      <c r="G9" s="5">
        <f t="shared" si="5"/>
        <v>4.7731300000000004E-3</v>
      </c>
      <c r="H9" s="5">
        <f t="shared" si="6"/>
        <v>5.02572E-3</v>
      </c>
      <c r="I9" s="5">
        <f t="shared" si="7"/>
        <v>5.6250000000000007E-4</v>
      </c>
      <c r="J9" s="5">
        <v>5.0000000000000001E-3</v>
      </c>
      <c r="K9" s="5">
        <f t="shared" si="0"/>
        <v>5.2377760263410894E-3</v>
      </c>
      <c r="L9" s="5">
        <f t="shared" si="8"/>
        <v>4.7731300000000004E-3</v>
      </c>
      <c r="M9" s="5">
        <f t="shared" si="9"/>
        <v>2.1546847029338742E-5</v>
      </c>
      <c r="N9" s="5">
        <f t="shared" si="1"/>
        <v>1.7893545712671754E-5</v>
      </c>
      <c r="O9" s="7" t="s">
        <v>25</v>
      </c>
      <c r="P9" s="8">
        <f>IF(O9="fine (H12)",0.0064,IF(O9="medium (H13)",0.0066,IF(O9="coarse (H14)",0.007)))</f>
        <v>6.4000000000000003E-3</v>
      </c>
    </row>
    <row r="10" spans="1:16" x14ac:dyDescent="0.3">
      <c r="A10" t="s">
        <v>66</v>
      </c>
      <c r="B10" s="10">
        <v>7.0000000000000001E-3</v>
      </c>
      <c r="C10" s="5">
        <v>1E-3</v>
      </c>
      <c r="D10" s="5">
        <f t="shared" si="2"/>
        <v>8.6602540378443859E-4</v>
      </c>
      <c r="E10" s="5">
        <f t="shared" si="3"/>
        <v>1.65265E-4</v>
      </c>
      <c r="F10" s="5">
        <f t="shared" si="4"/>
        <v>6.3504800000000004E-3</v>
      </c>
      <c r="G10" s="5">
        <f t="shared" si="5"/>
        <v>5.7731300000000004E-3</v>
      </c>
      <c r="H10" s="5">
        <f t="shared" si="6"/>
        <v>6.02572E-3</v>
      </c>
      <c r="I10" s="5">
        <f t="shared" si="7"/>
        <v>5.6250000000000007E-4</v>
      </c>
      <c r="J10" s="5">
        <v>6.0000000000000001E-3</v>
      </c>
      <c r="K10" s="5">
        <f t="shared" si="0"/>
        <v>6.2540969029435504E-3</v>
      </c>
      <c r="L10" s="5">
        <f t="shared" si="8"/>
        <v>5.7731300000000004E-3</v>
      </c>
      <c r="M10" s="5">
        <f t="shared" si="9"/>
        <v>3.071985019091115E-5</v>
      </c>
      <c r="N10" s="5">
        <f t="shared" si="1"/>
        <v>2.6176558947383723E-5</v>
      </c>
      <c r="O10" s="7" t="s">
        <v>25</v>
      </c>
      <c r="P10" s="8">
        <f>IF(O10="fine (H12)",0.0074,IF(O10="medium (H13)",0.0076,IF(O10="coarse (H14)",0.008)))</f>
        <v>7.4000000000000003E-3</v>
      </c>
    </row>
    <row r="11" spans="1:16" x14ac:dyDescent="0.3">
      <c r="A11" t="s">
        <v>67</v>
      </c>
      <c r="B11" s="10">
        <v>8.0000000000000002E-3</v>
      </c>
      <c r="C11" s="5">
        <v>1E-3</v>
      </c>
      <c r="D11" s="5">
        <f t="shared" si="2"/>
        <v>8.6602540378443859E-4</v>
      </c>
      <c r="E11" s="5">
        <f t="shared" si="3"/>
        <v>1.65265E-4</v>
      </c>
      <c r="F11" s="5">
        <f t="shared" si="4"/>
        <v>7.3504800000000004E-3</v>
      </c>
      <c r="G11" s="5">
        <f t="shared" si="5"/>
        <v>6.7731300000000005E-3</v>
      </c>
      <c r="H11" s="5">
        <f t="shared" si="6"/>
        <v>7.0257200000000001E-3</v>
      </c>
      <c r="I11" s="5">
        <f t="shared" si="7"/>
        <v>5.6250000000000007E-4</v>
      </c>
      <c r="J11" s="5">
        <v>7.0000000000000001E-3</v>
      </c>
      <c r="K11" s="5">
        <f t="shared" si="0"/>
        <v>7.2662848425800331E-3</v>
      </c>
      <c r="L11" s="5">
        <f t="shared" si="8"/>
        <v>6.7731300000000005E-3</v>
      </c>
      <c r="M11" s="5">
        <f t="shared" si="9"/>
        <v>4.1468155487183408E-5</v>
      </c>
      <c r="N11" s="5">
        <f t="shared" si="1"/>
        <v>3.6030368508890597E-5</v>
      </c>
      <c r="O11" s="7" t="s">
        <v>25</v>
      </c>
      <c r="P11" s="8">
        <f>IF(O11="fine (H12)",0.0084,IF(O11="medium (H13)",0.009,IF(O11="coarse (H14)",0.01)))</f>
        <v>8.3999999999999995E-3</v>
      </c>
    </row>
    <row r="12" spans="1:16" x14ac:dyDescent="0.3">
      <c r="A12" t="s">
        <v>68</v>
      </c>
      <c r="B12" s="10">
        <v>0.01</v>
      </c>
      <c r="C12" s="5">
        <v>1.25E-3</v>
      </c>
      <c r="D12" s="5">
        <f t="shared" si="2"/>
        <v>1.0825317547305483E-3</v>
      </c>
      <c r="E12" s="5">
        <f t="shared" si="3"/>
        <v>2.0658125000000001E-4</v>
      </c>
      <c r="F12" s="5">
        <f t="shared" si="4"/>
        <v>9.1881000000000011E-3</v>
      </c>
      <c r="G12" s="5">
        <f t="shared" si="5"/>
        <v>8.466412500000001E-3</v>
      </c>
      <c r="H12" s="5">
        <f t="shared" si="6"/>
        <v>8.7821500000000007E-3</v>
      </c>
      <c r="I12" s="5">
        <f t="shared" si="7"/>
        <v>7.0312499999999997E-4</v>
      </c>
      <c r="J12" s="5">
        <v>8.7500000000000008E-3</v>
      </c>
      <c r="K12" s="5">
        <f t="shared" si="0"/>
        <v>9.0828560532250427E-3</v>
      </c>
      <c r="L12" s="5">
        <f t="shared" si="8"/>
        <v>8.466412500000001E-3</v>
      </c>
      <c r="M12" s="5">
        <f t="shared" si="9"/>
        <v>6.4793992948724086E-5</v>
      </c>
      <c r="N12" s="5">
        <f t="shared" si="1"/>
        <v>5.6297450795141565E-5</v>
      </c>
      <c r="O12" s="7" t="s">
        <v>25</v>
      </c>
      <c r="P12" s="8">
        <f>IF(O12="fine (H12)",0.0105,IF(O12="medium (H13)",0.011,IF(O12="coarse (H14)",0.012)))</f>
        <v>1.0500000000000001E-2</v>
      </c>
    </row>
    <row r="13" spans="1:16" x14ac:dyDescent="0.3">
      <c r="A13" t="s">
        <v>69</v>
      </c>
      <c r="B13" s="10">
        <v>1.2E-2</v>
      </c>
      <c r="C13" s="5">
        <v>1.25E-3</v>
      </c>
      <c r="D13" s="5">
        <f t="shared" si="2"/>
        <v>1.0825317547305483E-3</v>
      </c>
      <c r="E13" s="5">
        <f t="shared" si="3"/>
        <v>2.0658125000000001E-4</v>
      </c>
      <c r="F13" s="5">
        <f t="shared" si="4"/>
        <v>1.1188099999999999E-2</v>
      </c>
      <c r="G13" s="5">
        <f t="shared" si="5"/>
        <v>1.0466412500000001E-2</v>
      </c>
      <c r="H13" s="5">
        <f t="shared" si="6"/>
        <v>1.0782150000000001E-2</v>
      </c>
      <c r="I13" s="5">
        <f t="shared" si="7"/>
        <v>7.0312499999999997E-4</v>
      </c>
      <c r="J13" s="5">
        <v>1.0749999999999999E-2</v>
      </c>
      <c r="K13" s="5">
        <f t="shared" si="0"/>
        <v>1.1100561617298967E-2</v>
      </c>
      <c r="L13" s="5">
        <f t="shared" si="8"/>
        <v>1.0466412500000001E-2</v>
      </c>
      <c r="M13" s="5">
        <f t="shared" si="9"/>
        <v>9.6778700228857307E-5</v>
      </c>
      <c r="N13" s="5">
        <f t="shared" si="1"/>
        <v>8.6037062760992153E-5</v>
      </c>
      <c r="O13" s="7" t="s">
        <v>25</v>
      </c>
      <c r="P13" s="8">
        <f>IF(O13="fine (H12)",0.013,IF(O13="medium (H13)",0.0135,IF(O13="coarse (H14)",0.0145)))</f>
        <v>1.2999999999999999E-2</v>
      </c>
    </row>
    <row r="14" spans="1:16" x14ac:dyDescent="0.3">
      <c r="A14" t="s">
        <v>70</v>
      </c>
      <c r="B14" s="10">
        <v>1.4E-2</v>
      </c>
      <c r="C14" s="5">
        <v>1.5E-3</v>
      </c>
      <c r="D14" s="5">
        <f t="shared" si="2"/>
        <v>1.2990381056766579E-3</v>
      </c>
      <c r="E14" s="5">
        <f t="shared" si="3"/>
        <v>2.4789750000000002E-4</v>
      </c>
      <c r="F14" s="5">
        <f t="shared" si="4"/>
        <v>1.3025720000000001E-2</v>
      </c>
      <c r="G14" s="5">
        <f t="shared" si="5"/>
        <v>1.2159695E-2</v>
      </c>
      <c r="H14" s="5">
        <f t="shared" si="6"/>
        <v>1.2538580000000001E-2</v>
      </c>
      <c r="I14" s="5">
        <f t="shared" si="7"/>
        <v>8.4374999999999999E-4</v>
      </c>
      <c r="J14" s="5">
        <v>1.2500000000000001E-2</v>
      </c>
      <c r="K14" s="5">
        <f t="shared" si="0"/>
        <v>1.2917643986789674E-2</v>
      </c>
      <c r="L14" s="5">
        <f t="shared" si="8"/>
        <v>1.2159695E-2</v>
      </c>
      <c r="M14" s="5">
        <f t="shared" si="9"/>
        <v>1.3105587778782971E-4</v>
      </c>
      <c r="N14" s="5">
        <f t="shared" si="1"/>
        <v>1.1612754497330656E-4</v>
      </c>
      <c r="O14" s="7" t="s">
        <v>25</v>
      </c>
      <c r="P14" s="8">
        <f>IF(O14="fine (H12)",0.015,IF(O14="medium (H13)",0.0155,IF(O14="coarse (H14)",0.0165)))</f>
        <v>1.4999999999999999E-2</v>
      </c>
    </row>
    <row r="15" spans="1:16" x14ac:dyDescent="0.3">
      <c r="A15" t="s">
        <v>71</v>
      </c>
      <c r="B15" s="10">
        <v>1.6E-2</v>
      </c>
      <c r="C15" s="5">
        <v>1.5E-3</v>
      </c>
      <c r="D15" s="5">
        <f t="shared" si="2"/>
        <v>1.2990381056766579E-3</v>
      </c>
      <c r="E15" s="5">
        <f t="shared" si="3"/>
        <v>2.4789750000000002E-4</v>
      </c>
      <c r="F15" s="5">
        <f t="shared" si="4"/>
        <v>1.5025720000000001E-2</v>
      </c>
      <c r="G15" s="5">
        <f t="shared" si="5"/>
        <v>1.4159695E-2</v>
      </c>
      <c r="H15" s="5">
        <f t="shared" si="6"/>
        <v>1.4538580000000001E-2</v>
      </c>
      <c r="I15" s="5">
        <f t="shared" si="7"/>
        <v>8.4374999999999999E-4</v>
      </c>
      <c r="J15" s="5">
        <v>1.4500000000000001E-2</v>
      </c>
      <c r="K15" s="5">
        <f t="shared" si="0"/>
        <v>1.493126522536411E-2</v>
      </c>
      <c r="L15" s="5">
        <f t="shared" si="8"/>
        <v>1.4159695E-2</v>
      </c>
      <c r="M15" s="5">
        <f t="shared" si="9"/>
        <v>1.7509877238107636E-4</v>
      </c>
      <c r="N15" s="5">
        <f t="shared" si="1"/>
        <v>1.5746994610878889E-4</v>
      </c>
      <c r="O15" s="7" t="s">
        <v>25</v>
      </c>
      <c r="P15" s="8">
        <f>IF(O15="fine (H12)",0.017,IF(O15="medium (H13)",0.0175,IF(O15="coarse (H14)",0.0185)))</f>
        <v>1.7000000000000001E-2</v>
      </c>
    </row>
    <row r="16" spans="1:16" x14ac:dyDescent="0.3">
      <c r="A16" t="s">
        <v>72</v>
      </c>
      <c r="B16" s="10">
        <v>1.7999999999999999E-2</v>
      </c>
      <c r="C16" s="5">
        <v>1.5E-3</v>
      </c>
      <c r="D16" s="5">
        <f t="shared" si="2"/>
        <v>1.2990381056766579E-3</v>
      </c>
      <c r="E16" s="5">
        <f t="shared" si="3"/>
        <v>2.4789750000000002E-4</v>
      </c>
      <c r="F16" s="5">
        <f t="shared" si="4"/>
        <v>1.7025719999999998E-2</v>
      </c>
      <c r="G16" s="5">
        <f t="shared" si="5"/>
        <v>1.6159694999999998E-2</v>
      </c>
      <c r="H16" s="5">
        <f t="shared" si="6"/>
        <v>1.6538579999999997E-2</v>
      </c>
      <c r="I16" s="5">
        <f t="shared" si="7"/>
        <v>8.4374999999999999E-4</v>
      </c>
      <c r="J16" s="5">
        <v>1.6500000000000001E-2</v>
      </c>
      <c r="K16" s="5">
        <f t="shared" si="0"/>
        <v>1.6941835814260599E-2</v>
      </c>
      <c r="L16" s="5">
        <f t="shared" si="8"/>
        <v>1.6159694999999998E-2</v>
      </c>
      <c r="M16" s="5">
        <f t="shared" si="9"/>
        <v>2.2542953676251489E-4</v>
      </c>
      <c r="N16" s="5">
        <f t="shared" si="1"/>
        <v>2.0509553255145077E-4</v>
      </c>
      <c r="O16" s="7" t="s">
        <v>25</v>
      </c>
      <c r="P16" s="8">
        <f>IF(O16="fine (H12)",0.019,IF(O16="medium (H13)",0.02,IF(O16="coarse (H14)",0.021)))</f>
        <v>1.9E-2</v>
      </c>
    </row>
    <row r="17" spans="1:16" x14ac:dyDescent="0.3">
      <c r="A17" t="s">
        <v>73</v>
      </c>
      <c r="B17" s="10">
        <v>0.02</v>
      </c>
      <c r="C17" s="5">
        <v>1.5E-3</v>
      </c>
      <c r="D17" s="5">
        <f t="shared" si="2"/>
        <v>1.2990381056766579E-3</v>
      </c>
      <c r="E17" s="5">
        <f t="shared" si="3"/>
        <v>2.4789750000000002E-4</v>
      </c>
      <c r="F17" s="5">
        <f t="shared" si="4"/>
        <v>1.9025719999999999E-2</v>
      </c>
      <c r="G17" s="5">
        <f t="shared" si="5"/>
        <v>1.8159695E-2</v>
      </c>
      <c r="H17" s="5">
        <f t="shared" si="6"/>
        <v>1.8538579999999999E-2</v>
      </c>
      <c r="I17" s="5">
        <f t="shared" si="7"/>
        <v>8.4374999999999999E-4</v>
      </c>
      <c r="J17" s="5">
        <v>1.8499999999999999E-2</v>
      </c>
      <c r="K17" s="5">
        <f t="shared" si="0"/>
        <v>1.8950277733204034E-2</v>
      </c>
      <c r="L17" s="5">
        <f t="shared" si="8"/>
        <v>1.8159695E-2</v>
      </c>
      <c r="M17" s="5">
        <f t="shared" si="9"/>
        <v>2.8204671120253739E-4</v>
      </c>
      <c r="N17" s="5">
        <f t="shared" si="1"/>
        <v>2.5900430430129235E-4</v>
      </c>
      <c r="O17" s="7" t="s">
        <v>25</v>
      </c>
      <c r="P17" s="8">
        <f>IF(O17="fine (H12)",0.021,IF(O17="medium (H13)",0.022,IF(O17="coarse (H14)",0.024)))</f>
        <v>2.1000000000000001E-2</v>
      </c>
    </row>
    <row r="18" spans="1:16" x14ac:dyDescent="0.3">
      <c r="A18" t="s">
        <v>74</v>
      </c>
      <c r="B18" s="10">
        <v>2.1999999999999999E-2</v>
      </c>
      <c r="C18" s="5">
        <v>1.5E-3</v>
      </c>
      <c r="D18" s="5">
        <f t="shared" si="2"/>
        <v>1.2990381056766579E-3</v>
      </c>
      <c r="E18" s="5">
        <f t="shared" si="3"/>
        <v>2.4789750000000002E-4</v>
      </c>
      <c r="F18" s="5">
        <f t="shared" si="4"/>
        <v>2.1025719999999998E-2</v>
      </c>
      <c r="G18" s="5">
        <f t="shared" si="5"/>
        <v>2.0159694999999998E-2</v>
      </c>
      <c r="H18" s="5">
        <f t="shared" si="6"/>
        <v>2.0538579999999997E-2</v>
      </c>
      <c r="I18" s="5">
        <f t="shared" si="7"/>
        <v>8.4374999999999999E-4</v>
      </c>
      <c r="J18" s="5">
        <v>2.0500000000000001E-2</v>
      </c>
      <c r="K18" s="5">
        <f t="shared" si="0"/>
        <v>2.0957175342328091E-2</v>
      </c>
      <c r="L18" s="5">
        <f t="shared" si="8"/>
        <v>2.0159694999999998E-2</v>
      </c>
      <c r="M18" s="5">
        <f t="shared" si="9"/>
        <v>3.4494938532594823E-4</v>
      </c>
      <c r="N18" s="5">
        <f t="shared" si="9"/>
        <v>3.1919626135831335E-4</v>
      </c>
      <c r="O18" s="7" t="s">
        <v>25</v>
      </c>
      <c r="P18" s="8">
        <f>IF(O18="fine (H12)",0.023,IF(O18="medium (H13)",0.024,IF(O18="coarse (H14)",0.026)))</f>
        <v>2.3E-2</v>
      </c>
    </row>
    <row r="19" spans="1:16" x14ac:dyDescent="0.3">
      <c r="A19" t="s">
        <v>75</v>
      </c>
      <c r="B19" s="10">
        <v>2.4E-2</v>
      </c>
      <c r="C19" s="5">
        <v>2E-3</v>
      </c>
      <c r="D19" s="5">
        <f t="shared" si="2"/>
        <v>1.7320508075688772E-3</v>
      </c>
      <c r="E19" s="5">
        <f t="shared" si="3"/>
        <v>3.3052999999999999E-4</v>
      </c>
      <c r="F19" s="5">
        <f t="shared" si="4"/>
        <v>2.2700959999999999E-2</v>
      </c>
      <c r="G19" s="5">
        <f t="shared" si="5"/>
        <v>2.1546260000000001E-2</v>
      </c>
      <c r="H19" s="5">
        <f t="shared" si="6"/>
        <v>2.2051440000000002E-2</v>
      </c>
      <c r="I19" s="5">
        <f t="shared" si="7"/>
        <v>1.1250000000000001E-3</v>
      </c>
      <c r="J19" s="5">
        <v>2.1999999999999999E-2</v>
      </c>
      <c r="K19" s="5">
        <f t="shared" si="0"/>
        <v>2.2589114419014133E-2</v>
      </c>
      <c r="L19" s="5">
        <f t="shared" si="8"/>
        <v>2.1546260000000001E-2</v>
      </c>
      <c r="M19" s="5">
        <f t="shared" si="9"/>
        <v>4.0076362091113761E-4</v>
      </c>
      <c r="N19" s="5">
        <f t="shared" si="9"/>
        <v>3.6461428009146817E-4</v>
      </c>
      <c r="O19" s="7" t="s">
        <v>25</v>
      </c>
      <c r="P19" s="8">
        <f>IF(O19="fine (H12)",0.025,IF(O19="medium (H13)",0.026,IF(O19="coarse (H14)",0.028)))</f>
        <v>2.5000000000000001E-2</v>
      </c>
    </row>
    <row r="20" spans="1:16" x14ac:dyDescent="0.3">
      <c r="A20" t="s">
        <v>76</v>
      </c>
      <c r="B20" s="10">
        <v>2.7E-2</v>
      </c>
      <c r="C20" s="5">
        <v>2E-3</v>
      </c>
      <c r="D20" s="5">
        <f t="shared" si="2"/>
        <v>1.7320508075688772E-3</v>
      </c>
      <c r="E20" s="5">
        <f t="shared" si="3"/>
        <v>3.3052999999999999E-4</v>
      </c>
      <c r="F20" s="5">
        <f t="shared" si="4"/>
        <v>2.5700959999999998E-2</v>
      </c>
      <c r="G20" s="5">
        <f t="shared" si="5"/>
        <v>2.454626E-2</v>
      </c>
      <c r="H20" s="5">
        <f t="shared" si="6"/>
        <v>2.5051440000000001E-2</v>
      </c>
      <c r="I20" s="5">
        <f t="shared" si="7"/>
        <v>1.1250000000000001E-3</v>
      </c>
      <c r="J20" s="5">
        <v>2.5000000000000001E-2</v>
      </c>
      <c r="K20" s="5">
        <f t="shared" si="0"/>
        <v>2.560161991844109E-2</v>
      </c>
      <c r="L20" s="5">
        <f t="shared" si="8"/>
        <v>2.454626E-2</v>
      </c>
      <c r="M20" s="5">
        <f t="shared" si="9"/>
        <v>5.1478368321072963E-4</v>
      </c>
      <c r="N20" s="5">
        <f t="shared" si="9"/>
        <v>4.7321722175454865E-4</v>
      </c>
      <c r="O20" s="7" t="s">
        <v>25</v>
      </c>
      <c r="P20" s="8">
        <f>IF(O20="fine (H12)",0.028,IF(O20="medium (H13)",0.03,IF(O20="coarse (H14)",0.032)))</f>
        <v>2.8000000000000001E-2</v>
      </c>
    </row>
    <row r="21" spans="1:16" x14ac:dyDescent="0.3">
      <c r="A21" t="s">
        <v>77</v>
      </c>
      <c r="B21" s="10">
        <v>0.03</v>
      </c>
      <c r="C21" s="5">
        <v>2E-3</v>
      </c>
      <c r="D21" s="5">
        <f t="shared" si="2"/>
        <v>1.7320508075688772E-3</v>
      </c>
      <c r="E21" s="5">
        <f t="shared" si="3"/>
        <v>3.3052999999999999E-4</v>
      </c>
      <c r="F21" s="5">
        <f t="shared" si="4"/>
        <v>2.8700959999999998E-2</v>
      </c>
      <c r="G21" s="5">
        <f t="shared" si="5"/>
        <v>2.7546259999999999E-2</v>
      </c>
      <c r="H21" s="5">
        <f t="shared" si="6"/>
        <v>2.805144E-2</v>
      </c>
      <c r="I21" s="5">
        <f t="shared" si="7"/>
        <v>1.1250000000000001E-3</v>
      </c>
      <c r="J21" s="5">
        <v>2.8000000000000001E-2</v>
      </c>
      <c r="K21" s="5">
        <f t="shared" si="0"/>
        <v>2.861160934691629E-2</v>
      </c>
      <c r="L21" s="5">
        <f t="shared" si="8"/>
        <v>2.7546259999999999E-2</v>
      </c>
      <c r="M21" s="5">
        <f t="shared" si="9"/>
        <v>6.429459348836229E-4</v>
      </c>
      <c r="N21" s="5">
        <f t="shared" si="9"/>
        <v>5.9595733035878312E-4</v>
      </c>
      <c r="O21" s="7" t="s">
        <v>25</v>
      </c>
      <c r="P21" s="8">
        <f>IF(O21="fine (H12)",0.031,IF(O21="medium (H13)",0.033,IF(O21="coarse (H14)",0.035)))</f>
        <v>3.1E-2</v>
      </c>
    </row>
    <row r="22" spans="1:16" x14ac:dyDescent="0.3">
      <c r="A22" t="s">
        <v>78</v>
      </c>
      <c r="B22" s="10">
        <v>3.3000000000000002E-2</v>
      </c>
      <c r="C22" s="5">
        <v>2E-3</v>
      </c>
      <c r="D22" s="5">
        <f t="shared" si="2"/>
        <v>1.7320508075688772E-3</v>
      </c>
      <c r="E22" s="5">
        <f t="shared" si="3"/>
        <v>3.3052999999999999E-4</v>
      </c>
      <c r="F22" s="5">
        <f t="shared" si="4"/>
        <v>3.170096E-2</v>
      </c>
      <c r="G22" s="5">
        <f t="shared" si="5"/>
        <v>3.0546260000000002E-2</v>
      </c>
      <c r="H22" s="5">
        <f t="shared" si="6"/>
        <v>3.1051440000000003E-2</v>
      </c>
      <c r="I22" s="5">
        <f t="shared" si="7"/>
        <v>1.1250000000000001E-3</v>
      </c>
      <c r="J22" s="5">
        <v>3.1E-2</v>
      </c>
      <c r="K22" s="5">
        <f t="shared" si="0"/>
        <v>3.1619772813453371E-2</v>
      </c>
      <c r="L22" s="5">
        <f t="shared" si="8"/>
        <v>3.0546260000000002E-2</v>
      </c>
      <c r="M22" s="5">
        <f t="shared" si="9"/>
        <v>7.8524896348736021E-4</v>
      </c>
      <c r="N22" s="5">
        <f t="shared" si="9"/>
        <v>7.328346059041718E-4</v>
      </c>
      <c r="O22" s="7" t="s">
        <v>25</v>
      </c>
      <c r="P22" s="8">
        <f>IF(O22="fine (H12)",0.034,IF(O22="medium (H13)",0.036,IF(O22="coarse (H14)",0.038)))</f>
        <v>3.4000000000000002E-2</v>
      </c>
    </row>
    <row r="23" spans="1:16" x14ac:dyDescent="0.3">
      <c r="A23" t="s">
        <v>79</v>
      </c>
      <c r="B23" s="10">
        <v>3.5999999999999997E-2</v>
      </c>
      <c r="C23" s="5">
        <v>2E-3</v>
      </c>
      <c r="D23" s="5">
        <f t="shared" si="2"/>
        <v>1.7320508075688772E-3</v>
      </c>
      <c r="E23" s="5">
        <f t="shared" si="3"/>
        <v>3.3052999999999999E-4</v>
      </c>
      <c r="F23" s="5">
        <f t="shared" si="4"/>
        <v>3.4700959999999996E-2</v>
      </c>
      <c r="G23" s="5">
        <f t="shared" si="5"/>
        <v>3.3546259999999994E-2</v>
      </c>
      <c r="H23" s="5">
        <f t="shared" si="6"/>
        <v>3.4051439999999995E-2</v>
      </c>
      <c r="I23" s="5">
        <f t="shared" si="7"/>
        <v>1.1250000000000001E-3</v>
      </c>
      <c r="J23" s="5">
        <v>3.4000000000000002E-2</v>
      </c>
      <c r="K23" s="5">
        <f t="shared" si="0"/>
        <v>3.4626569143156177E-2</v>
      </c>
      <c r="L23" s="5">
        <f t="shared" si="8"/>
        <v>3.3546259999999994E-2</v>
      </c>
      <c r="M23" s="5">
        <f t="shared" si="9"/>
        <v>9.4169184077232734E-4</v>
      </c>
      <c r="N23" s="5">
        <f t="shared" si="9"/>
        <v>8.838490483907141E-4</v>
      </c>
      <c r="O23" s="7" t="s">
        <v>25</v>
      </c>
      <c r="P23" s="8">
        <f>IF(O23="fine (H12)",0.037,IF(O23="medium (H13)",0.039,IF(O23="coarse (H14)",0.042)))</f>
        <v>3.6999999999999998E-2</v>
      </c>
    </row>
    <row r="24" spans="1:16" x14ac:dyDescent="0.3">
      <c r="A24" t="s">
        <v>80</v>
      </c>
      <c r="B24" s="10">
        <v>3.9E-2</v>
      </c>
      <c r="C24" s="5">
        <v>2E-3</v>
      </c>
      <c r="D24" s="5">
        <f t="shared" si="2"/>
        <v>1.7320508075688772E-3</v>
      </c>
      <c r="E24" s="5">
        <f t="shared" si="3"/>
        <v>3.3052999999999999E-4</v>
      </c>
      <c r="F24" s="5">
        <f t="shared" si="4"/>
        <v>3.7700959999999999E-2</v>
      </c>
      <c r="G24" s="5">
        <f t="shared" si="5"/>
        <v>3.6546259999999997E-2</v>
      </c>
      <c r="H24" s="5">
        <f t="shared" si="6"/>
        <v>3.7051439999999998E-2</v>
      </c>
      <c r="I24" s="5">
        <f t="shared" si="7"/>
        <v>1.1250000000000001E-3</v>
      </c>
      <c r="J24" s="5">
        <v>3.6999999999999998E-2</v>
      </c>
      <c r="K24" s="5">
        <f t="shared" si="0"/>
        <v>3.7632315292591846E-2</v>
      </c>
      <c r="L24" s="5">
        <f t="shared" si="8"/>
        <v>3.6546259999999997E-2</v>
      </c>
      <c r="M24" s="5">
        <f t="shared" si="9"/>
        <v>1.1122739315920429E-3</v>
      </c>
      <c r="N24" s="5">
        <f t="shared" si="9"/>
        <v>1.0490006578184109E-3</v>
      </c>
      <c r="O24" s="7" t="s">
        <v>25</v>
      </c>
      <c r="P24" s="8">
        <f>IF(O24="fine (H12)",0.04,IF(O24="medium (H13)",0.042,IF(O24="coarse (H14)",0.045)))</f>
        <v>0.04</v>
      </c>
    </row>
  </sheetData>
  <dataValidations count="1">
    <dataValidation type="list" allowBlank="1" showInputMessage="1" showErrorMessage="1" sqref="O2:O24" xr:uid="{66F795A1-1620-4EEF-9776-882243438EF2}">
      <formula1>"fine (H12), medium (H13), coarse (H14)"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31DD-71D7-47CE-A2C0-D180E425B152}">
  <dimension ref="A5:O31"/>
  <sheetViews>
    <sheetView topLeftCell="A16" workbookViewId="0">
      <selection activeCell="I27" sqref="I27"/>
    </sheetView>
  </sheetViews>
  <sheetFormatPr baseColWidth="10" defaultRowHeight="14.4" x14ac:dyDescent="0.3"/>
  <cols>
    <col min="6" max="6" width="12" bestFit="1" customWidth="1"/>
    <col min="10" max="10" width="15.44140625" customWidth="1"/>
    <col min="13" max="13" width="12.5546875" customWidth="1"/>
  </cols>
  <sheetData>
    <row r="5" spans="1:15" x14ac:dyDescent="0.3">
      <c r="N5" t="s">
        <v>321</v>
      </c>
    </row>
    <row r="6" spans="1:15" ht="15" thickBot="1" x14ac:dyDescent="0.35">
      <c r="B6" t="s">
        <v>311</v>
      </c>
      <c r="I6" t="s">
        <v>312</v>
      </c>
      <c r="J6" t="s">
        <v>315</v>
      </c>
      <c r="K6" t="s">
        <v>316</v>
      </c>
    </row>
    <row r="7" spans="1:15" ht="29.4" thickBot="1" x14ac:dyDescent="0.35">
      <c r="A7" s="48" t="s">
        <v>308</v>
      </c>
      <c r="B7" s="53" t="s">
        <v>322</v>
      </c>
      <c r="C7" s="54" t="s">
        <v>309</v>
      </c>
      <c r="D7" s="55" t="s">
        <v>309</v>
      </c>
      <c r="E7" s="55" t="s">
        <v>310</v>
      </c>
      <c r="F7" s="15" t="s">
        <v>313</v>
      </c>
      <c r="G7" s="15" t="s">
        <v>314</v>
      </c>
      <c r="I7" s="15" t="s">
        <v>318</v>
      </c>
      <c r="J7" s="15" t="s">
        <v>317</v>
      </c>
      <c r="K7" s="15" t="s">
        <v>319</v>
      </c>
      <c r="L7" s="15"/>
      <c r="M7" s="15" t="s">
        <v>320</v>
      </c>
      <c r="N7" s="43" t="s">
        <v>307</v>
      </c>
      <c r="O7" s="44" t="s">
        <v>15</v>
      </c>
    </row>
    <row r="8" spans="1:15" x14ac:dyDescent="0.3">
      <c r="A8" s="49">
        <v>1767.2975695136433</v>
      </c>
      <c r="B8" s="50">
        <v>1277.1971767722102</v>
      </c>
      <c r="C8" s="51">
        <v>8.778717937760238E-6</v>
      </c>
      <c r="D8" s="52">
        <v>8.778717937760238E-6</v>
      </c>
      <c r="E8" s="52">
        <v>7.749587215761022E-6</v>
      </c>
      <c r="F8" s="5">
        <f>$B$8/D8</f>
        <v>145487893.08727562</v>
      </c>
      <c r="G8" s="5">
        <f t="shared" ref="G8:G17" si="0">$B$8/E8</f>
        <v>164808413.81779164</v>
      </c>
      <c r="I8" s="5">
        <v>774000000</v>
      </c>
      <c r="J8" s="5">
        <v>3360000</v>
      </c>
      <c r="K8" s="5">
        <f>(I8+J8)/2</f>
        <v>388680000</v>
      </c>
      <c r="M8">
        <f>PI()*(1.57/1000)^2</f>
        <v>7.74371173183348E-6</v>
      </c>
      <c r="N8" s="47">
        <v>7.7489999999999997</v>
      </c>
      <c r="O8" s="47">
        <v>8.7799999999999994</v>
      </c>
    </row>
    <row r="9" spans="1:15" x14ac:dyDescent="0.3">
      <c r="A9" s="49">
        <v>1767.2975695136433</v>
      </c>
      <c r="B9" s="50">
        <v>1277.1971767722102</v>
      </c>
      <c r="C9" s="51">
        <v>8.778717937760238E-6</v>
      </c>
      <c r="D9" s="52">
        <v>8.778717937760238E-6</v>
      </c>
      <c r="E9" s="52">
        <v>7.749587215761022E-6</v>
      </c>
      <c r="F9" s="5">
        <f t="shared" ref="F9:F17" si="1">$B$8/D9</f>
        <v>145487893.08727562</v>
      </c>
      <c r="G9" s="5">
        <f t="shared" si="0"/>
        <v>164808413.81779164</v>
      </c>
    </row>
    <row r="10" spans="1:15" x14ac:dyDescent="0.3">
      <c r="A10" s="49">
        <v>1767.2975695136433</v>
      </c>
      <c r="B10" s="50">
        <v>1277.1971767722102</v>
      </c>
      <c r="C10" s="51">
        <v>8.778717937760238E-6</v>
      </c>
      <c r="D10" s="52">
        <v>8.778717937760238E-6</v>
      </c>
      <c r="E10" s="52">
        <v>7.749587215761022E-6</v>
      </c>
      <c r="F10" s="5">
        <f t="shared" si="1"/>
        <v>145487893.08727562</v>
      </c>
      <c r="G10" s="5">
        <f t="shared" si="0"/>
        <v>164808413.81779164</v>
      </c>
    </row>
    <row r="11" spans="1:15" x14ac:dyDescent="0.3">
      <c r="A11" s="49">
        <v>1767.2975695136433</v>
      </c>
      <c r="B11" s="50">
        <v>1277.1971767722102</v>
      </c>
      <c r="C11" s="51">
        <v>8.778717937760238E-6</v>
      </c>
      <c r="D11" s="52">
        <v>8.778717937760238E-6</v>
      </c>
      <c r="E11" s="52">
        <v>7.749587215761022E-6</v>
      </c>
      <c r="F11" s="5">
        <f t="shared" si="1"/>
        <v>145487893.08727562</v>
      </c>
      <c r="G11" s="5">
        <f t="shared" si="0"/>
        <v>164808413.81779164</v>
      </c>
      <c r="I11" t="s">
        <v>312</v>
      </c>
      <c r="J11" t="s">
        <v>315</v>
      </c>
      <c r="K11" t="s">
        <v>341</v>
      </c>
      <c r="N11">
        <v>7.6404797826346851</v>
      </c>
      <c r="O11">
        <v>8.662188545435157</v>
      </c>
    </row>
    <row r="12" spans="1:15" x14ac:dyDescent="0.3">
      <c r="A12" s="49">
        <v>1767.2975695136433</v>
      </c>
      <c r="B12" s="50">
        <v>1277.1971767722102</v>
      </c>
      <c r="C12" s="51">
        <v>8.778717937760238E-6</v>
      </c>
      <c r="D12" s="52">
        <v>8.778717937760238E-6</v>
      </c>
      <c r="E12" s="52">
        <v>7.749587215761022E-6</v>
      </c>
      <c r="F12" s="5">
        <f t="shared" si="1"/>
        <v>145487893.08727562</v>
      </c>
      <c r="G12" s="5">
        <f t="shared" si="0"/>
        <v>164808413.81779164</v>
      </c>
      <c r="I12" t="s">
        <v>318</v>
      </c>
      <c r="J12" t="s">
        <v>317</v>
      </c>
      <c r="K12" t="s">
        <v>319</v>
      </c>
    </row>
    <row r="13" spans="1:15" x14ac:dyDescent="0.3">
      <c r="A13" s="49">
        <v>1767.2975695136433</v>
      </c>
      <c r="B13" s="50">
        <v>1277.1971767722102</v>
      </c>
      <c r="C13" s="51">
        <v>8.778717937760238E-6</v>
      </c>
      <c r="D13" s="52">
        <v>8.778717937760238E-6</v>
      </c>
      <c r="E13" s="52">
        <v>7.749587215761022E-6</v>
      </c>
      <c r="F13" s="5">
        <f t="shared" si="1"/>
        <v>145487893.08727562</v>
      </c>
      <c r="G13" s="5">
        <f t="shared" si="0"/>
        <v>164808413.81779164</v>
      </c>
      <c r="I13" s="5">
        <v>752000000</v>
      </c>
      <c r="J13" s="5">
        <v>4520000</v>
      </c>
      <c r="K13" s="5">
        <f>(I13+J13)/2</f>
        <v>378260000</v>
      </c>
    </row>
    <row r="14" spans="1:15" x14ac:dyDescent="0.3">
      <c r="A14" s="49">
        <v>1767.2975695136433</v>
      </c>
      <c r="B14" s="50">
        <v>1277.1971767722102</v>
      </c>
      <c r="C14" s="51">
        <v>8.778717937760238E-6</v>
      </c>
      <c r="D14" s="52">
        <v>8.778717937760238E-6</v>
      </c>
      <c r="E14" s="52">
        <v>7.749587215761022E-6</v>
      </c>
      <c r="F14" s="5">
        <f t="shared" si="1"/>
        <v>145487893.08727562</v>
      </c>
      <c r="G14" s="5">
        <f t="shared" si="0"/>
        <v>164808413.81779164</v>
      </c>
    </row>
    <row r="15" spans="1:15" x14ac:dyDescent="0.3">
      <c r="A15" s="49">
        <v>1767.2975695136433</v>
      </c>
      <c r="B15" s="50">
        <v>1277.1971767722102</v>
      </c>
      <c r="C15" s="51">
        <v>8.778717937760238E-6</v>
      </c>
      <c r="D15" s="52">
        <v>8.778717937760238E-6</v>
      </c>
      <c r="E15" s="52">
        <v>7.749587215761022E-6</v>
      </c>
      <c r="F15" s="5">
        <f t="shared" si="1"/>
        <v>145487893.08727562</v>
      </c>
      <c r="G15" s="5">
        <f t="shared" si="0"/>
        <v>164808413.81779164</v>
      </c>
    </row>
    <row r="16" spans="1:15" x14ac:dyDescent="0.3">
      <c r="A16" s="49">
        <v>1767.2975695136433</v>
      </c>
      <c r="B16" s="50">
        <v>1277.1971767722102</v>
      </c>
      <c r="C16" s="51">
        <v>8.778717937760238E-6</v>
      </c>
      <c r="D16" s="52">
        <v>8.778717937760238E-6</v>
      </c>
      <c r="E16" s="52">
        <v>7.749587215761022E-6</v>
      </c>
      <c r="F16" s="5">
        <f t="shared" si="1"/>
        <v>145487893.08727562</v>
      </c>
      <c r="G16" s="5">
        <f t="shared" si="0"/>
        <v>164808413.81779164</v>
      </c>
    </row>
    <row r="17" spans="1:9" x14ac:dyDescent="0.3">
      <c r="A17" s="49">
        <v>1767.2975695136433</v>
      </c>
      <c r="B17" s="50">
        <v>1277.1971767722102</v>
      </c>
      <c r="C17" s="51">
        <v>8.778717937760238E-6</v>
      </c>
      <c r="D17" s="52">
        <v>8.778717937760238E-6</v>
      </c>
      <c r="E17" s="52">
        <v>7.749587215761022E-6</v>
      </c>
      <c r="F17" s="5">
        <f t="shared" si="1"/>
        <v>145487893.08727562</v>
      </c>
      <c r="G17" s="5">
        <f t="shared" si="0"/>
        <v>164808413.81779164</v>
      </c>
    </row>
    <row r="20" spans="1:9" ht="15" thickBot="1" x14ac:dyDescent="0.35"/>
    <row r="21" spans="1:9" ht="15" thickBot="1" x14ac:dyDescent="0.35">
      <c r="B21" s="53" t="s">
        <v>308</v>
      </c>
      <c r="C21" s="43" t="s">
        <v>307</v>
      </c>
      <c r="D21" s="44" t="s">
        <v>15</v>
      </c>
    </row>
    <row r="22" spans="1:9" x14ac:dyDescent="0.3">
      <c r="B22" s="50">
        <v>1767.2975695136433</v>
      </c>
      <c r="C22" s="47">
        <v>7.7489999999999997</v>
      </c>
      <c r="D22" s="47">
        <v>8.7799999999999994</v>
      </c>
      <c r="E22" s="5">
        <f>$B$8/C22 /0.000001</f>
        <v>164820902.92582402</v>
      </c>
      <c r="F22" s="5">
        <f>$B$8/D22 /0.000001</f>
        <v>145466648.83510369</v>
      </c>
      <c r="G22" s="5"/>
    </row>
    <row r="23" spans="1:9" x14ac:dyDescent="0.3">
      <c r="B23" s="50">
        <v>1767.2975695136433</v>
      </c>
      <c r="E23" s="5"/>
      <c r="F23" s="5"/>
      <c r="G23" s="5"/>
    </row>
    <row r="24" spans="1:9" x14ac:dyDescent="0.3">
      <c r="B24" s="50">
        <v>1767.2975695136433</v>
      </c>
      <c r="E24" s="5"/>
      <c r="F24" s="5"/>
      <c r="G24" s="5"/>
    </row>
    <row r="25" spans="1:9" x14ac:dyDescent="0.3">
      <c r="B25" s="50">
        <v>1767.2975695136433</v>
      </c>
      <c r="C25">
        <v>7.6404797826346851</v>
      </c>
      <c r="D25">
        <v>8.662188545435157</v>
      </c>
      <c r="E25" s="5">
        <f t="shared" ref="E25:F25" si="2">$B$8/C25 /0.000001</f>
        <v>167161907.77378008</v>
      </c>
      <c r="F25" s="5">
        <f t="shared" si="2"/>
        <v>147445090.81891018</v>
      </c>
      <c r="G25" s="5"/>
      <c r="H25" t="s">
        <v>87</v>
      </c>
      <c r="I25">
        <v>0.7</v>
      </c>
    </row>
    <row r="26" spans="1:9" x14ac:dyDescent="0.3">
      <c r="B26" s="50">
        <v>1767.2975695136433</v>
      </c>
      <c r="H26" t="s">
        <v>5</v>
      </c>
      <c r="I26">
        <f>SQRT(3)/2*I25</f>
        <v>0.60621778264910697</v>
      </c>
    </row>
    <row r="27" spans="1:9" x14ac:dyDescent="0.3">
      <c r="B27" s="50">
        <v>1767.2975695136433</v>
      </c>
      <c r="I27">
        <f>SQRT(3)/2</f>
        <v>0.8660254037844386</v>
      </c>
    </row>
    <row r="28" spans="1:9" x14ac:dyDescent="0.3">
      <c r="B28" s="50">
        <v>1767.2975695136433</v>
      </c>
    </row>
    <row r="29" spans="1:9" x14ac:dyDescent="0.3">
      <c r="B29" s="50">
        <v>1767.2975695136433</v>
      </c>
    </row>
    <row r="30" spans="1:9" x14ac:dyDescent="0.3">
      <c r="B30" s="50">
        <v>1767.2975695136433</v>
      </c>
    </row>
    <row r="31" spans="1:9" x14ac:dyDescent="0.3">
      <c r="B31" s="50">
        <v>1767.2975695136433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48429-9E9A-437B-97F3-117C306DEA7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F83D4-DE70-4703-8ED3-F2D54F1608D1}">
  <dimension ref="A1:S26"/>
  <sheetViews>
    <sheetView tabSelected="1" workbookViewId="0">
      <selection activeCell="A3" sqref="A3"/>
    </sheetView>
  </sheetViews>
  <sheetFormatPr baseColWidth="10" defaultRowHeight="14.4" x14ac:dyDescent="0.3"/>
  <cols>
    <col min="9" max="9" width="17.6640625" customWidth="1"/>
    <col min="10" max="10" width="16" customWidth="1"/>
  </cols>
  <sheetData>
    <row r="1" spans="1:19" x14ac:dyDescent="0.3">
      <c r="A1" s="97" t="s">
        <v>306</v>
      </c>
      <c r="B1" s="98" t="s">
        <v>263</v>
      </c>
      <c r="C1" s="99" t="s">
        <v>285</v>
      </c>
      <c r="D1" s="99" t="s">
        <v>275</v>
      </c>
      <c r="E1" s="100" t="s">
        <v>286</v>
      </c>
      <c r="F1" s="100" t="s">
        <v>277</v>
      </c>
      <c r="G1" s="99" t="s">
        <v>287</v>
      </c>
      <c r="H1" s="99" t="s">
        <v>279</v>
      </c>
      <c r="I1" s="101" t="s">
        <v>736</v>
      </c>
      <c r="J1" s="101" t="s">
        <v>737</v>
      </c>
      <c r="K1" s="102" t="s">
        <v>290</v>
      </c>
      <c r="L1" s="102" t="s">
        <v>291</v>
      </c>
      <c r="M1" s="103" t="s">
        <v>307</v>
      </c>
      <c r="N1" s="104" t="s">
        <v>15</v>
      </c>
      <c r="O1" s="105" t="s">
        <v>732</v>
      </c>
      <c r="P1" s="105" t="s">
        <v>733</v>
      </c>
      <c r="Q1" s="105" t="s">
        <v>734</v>
      </c>
      <c r="R1" s="105" t="s">
        <v>738</v>
      </c>
      <c r="S1" s="105" t="s">
        <v>735</v>
      </c>
    </row>
    <row r="2" spans="1:19" x14ac:dyDescent="0.3">
      <c r="A2" s="46">
        <v>1</v>
      </c>
      <c r="B2" s="22">
        <v>0.25</v>
      </c>
      <c r="C2" s="35">
        <v>1</v>
      </c>
      <c r="D2" s="35">
        <v>0.93300000000000005</v>
      </c>
      <c r="E2" s="34">
        <v>0.83799999999999997</v>
      </c>
      <c r="F2" s="34">
        <v>0.78500000000000003</v>
      </c>
      <c r="G2" s="35">
        <v>0.69299999999999995</v>
      </c>
      <c r="H2" s="35">
        <v>0.63</v>
      </c>
      <c r="I2" s="36">
        <v>0.83799999999999997</v>
      </c>
      <c r="J2" s="36">
        <v>0.89400000000000002</v>
      </c>
      <c r="K2" s="37">
        <v>0.72899999999999998</v>
      </c>
      <c r="L2" s="37">
        <v>0.78500000000000003</v>
      </c>
      <c r="M2" s="47">
        <v>0.377</v>
      </c>
      <c r="N2" s="47">
        <v>0.46</v>
      </c>
      <c r="O2" s="31">
        <f>(Tabla9[[#This Row],[dmax]]+Tabla9[[#This Row],[dmin]])/2</f>
        <v>0.96650000000000003</v>
      </c>
      <c r="P2" s="31">
        <f>(Tabla9[[#This Row],[d2max]]+Tabla9[[#This Row],[d2min]])/2</f>
        <v>0.8115</v>
      </c>
      <c r="Q2" s="31">
        <f>(Tabla9[[#This Row],[d3max]]+Tabla9[[#This Row],[d3min]])/2</f>
        <v>0.66149999999999998</v>
      </c>
      <c r="R2" s="31">
        <f>(Tabla9[[#This Row],[D2_min]]+Tabla9[[#This Row],[D2_max]])/2</f>
        <v>0.86599999999999999</v>
      </c>
      <c r="S2" s="31">
        <f>(Tabla9[[#This Row],[D1max]]+Tabla9[[#This Row],[D1min]])/2</f>
        <v>0.75700000000000001</v>
      </c>
    </row>
    <row r="3" spans="1:19" x14ac:dyDescent="0.3">
      <c r="A3" s="46">
        <v>1.1000000000000001</v>
      </c>
      <c r="B3" s="22">
        <v>0.25</v>
      </c>
      <c r="C3" s="35">
        <v>1.1000000000000001</v>
      </c>
      <c r="D3" s="35">
        <v>1.0329999999999999</v>
      </c>
      <c r="E3" s="34">
        <v>0.93799999999999994</v>
      </c>
      <c r="F3" s="34">
        <v>0.88500000000000001</v>
      </c>
      <c r="G3" s="35">
        <v>0.79300000000000004</v>
      </c>
      <c r="H3" s="35">
        <v>0.73</v>
      </c>
      <c r="I3" s="36">
        <v>0.93799999999999994</v>
      </c>
      <c r="J3" s="36">
        <v>0.99399999999999999</v>
      </c>
      <c r="K3" s="37">
        <v>0.82899999999999996</v>
      </c>
      <c r="L3" s="37">
        <v>0.88500000000000001</v>
      </c>
      <c r="M3" s="47">
        <v>0.49399999999999999</v>
      </c>
      <c r="N3" s="47">
        <v>0.58799999999999997</v>
      </c>
      <c r="O3" s="31">
        <f>(Tabla9[[#This Row],[dmax]]+Tabla9[[#This Row],[dmin]])/2</f>
        <v>1.0665</v>
      </c>
      <c r="P3" s="31">
        <f>(Tabla9[[#This Row],[d2max]]+Tabla9[[#This Row],[d2min]])/2</f>
        <v>0.91149999999999998</v>
      </c>
      <c r="Q3" s="31">
        <f>(Tabla9[[#This Row],[d3max]]+Tabla9[[#This Row],[d3min]])/2</f>
        <v>0.76150000000000007</v>
      </c>
      <c r="R3" s="31">
        <f>(Tabla9[[#This Row],[D2_min]]+Tabla9[[#This Row],[D2_max]])/2</f>
        <v>0.96599999999999997</v>
      </c>
      <c r="S3" s="31">
        <f>(Tabla9[[#This Row],[D1max]]+Tabla9[[#This Row],[D1min]])/2</f>
        <v>0.85699999999999998</v>
      </c>
    </row>
    <row r="4" spans="1:19" x14ac:dyDescent="0.3">
      <c r="A4" s="46">
        <v>1.2</v>
      </c>
      <c r="B4" s="22">
        <v>0.25</v>
      </c>
      <c r="C4" s="35">
        <v>1.2</v>
      </c>
      <c r="D4" s="35">
        <v>1.133</v>
      </c>
      <c r="E4" s="34">
        <v>1.038</v>
      </c>
      <c r="F4" s="34">
        <v>0.98499999999999999</v>
      </c>
      <c r="G4" s="35">
        <v>0.89300000000000002</v>
      </c>
      <c r="H4" s="35">
        <v>0.83</v>
      </c>
      <c r="I4" s="36">
        <v>1.038</v>
      </c>
      <c r="J4" s="36">
        <v>1.0940000000000001</v>
      </c>
      <c r="K4" s="37">
        <v>0.92900000000000005</v>
      </c>
      <c r="L4" s="37">
        <v>0.98499999999999999</v>
      </c>
      <c r="M4" s="47">
        <v>0.626</v>
      </c>
      <c r="N4" s="47">
        <v>0.73199999999999998</v>
      </c>
      <c r="O4" s="31">
        <f>(Tabla9[[#This Row],[dmax]]+Tabla9[[#This Row],[dmin]])/2</f>
        <v>1.1665000000000001</v>
      </c>
      <c r="P4" s="31">
        <f>(Tabla9[[#This Row],[d2max]]+Tabla9[[#This Row],[d2min]])/2</f>
        <v>1.0115000000000001</v>
      </c>
      <c r="Q4" s="31">
        <f>(Tabla9[[#This Row],[d3max]]+Tabla9[[#This Row],[d3min]])/2</f>
        <v>0.86149999999999993</v>
      </c>
      <c r="R4" s="31">
        <f>(Tabla9[[#This Row],[D2_min]]+Tabla9[[#This Row],[D2_max]])/2</f>
        <v>1.0660000000000001</v>
      </c>
      <c r="S4" s="31">
        <f>(Tabla9[[#This Row],[D1max]]+Tabla9[[#This Row],[D1min]])/2</f>
        <v>0.95700000000000007</v>
      </c>
    </row>
    <row r="5" spans="1:19" x14ac:dyDescent="0.3">
      <c r="A5" s="46">
        <v>1.4</v>
      </c>
      <c r="B5" s="22">
        <v>0.3</v>
      </c>
      <c r="C5" s="35">
        <v>1.4</v>
      </c>
      <c r="D5" s="35">
        <v>1.325</v>
      </c>
      <c r="E5" s="34">
        <v>1.2050000000000001</v>
      </c>
      <c r="F5" s="34">
        <v>1.149</v>
      </c>
      <c r="G5" s="35">
        <v>1.032</v>
      </c>
      <c r="H5" s="35">
        <v>0.96399999999999997</v>
      </c>
      <c r="I5" s="36">
        <v>1.2050000000000001</v>
      </c>
      <c r="J5" s="36">
        <v>1.2649999999999999</v>
      </c>
      <c r="K5" s="37">
        <v>1.075</v>
      </c>
      <c r="L5" s="37">
        <v>1.1419999999999999</v>
      </c>
      <c r="M5" s="47">
        <v>0.83699999999999997</v>
      </c>
      <c r="N5" s="47">
        <v>0.98299999999999998</v>
      </c>
      <c r="O5" s="31">
        <f>(Tabla9[[#This Row],[dmax]]+Tabla9[[#This Row],[dmin]])/2</f>
        <v>1.3624999999999998</v>
      </c>
      <c r="P5" s="31">
        <f>(Tabla9[[#This Row],[d2max]]+Tabla9[[#This Row],[d2min]])/2</f>
        <v>1.177</v>
      </c>
      <c r="Q5" s="31">
        <f>(Tabla9[[#This Row],[d3max]]+Tabla9[[#This Row],[d3min]])/2</f>
        <v>0.998</v>
      </c>
      <c r="R5" s="31">
        <f>(Tabla9[[#This Row],[D2_min]]+Tabla9[[#This Row],[D2_max]])/2</f>
        <v>1.2349999999999999</v>
      </c>
      <c r="S5" s="31">
        <f>(Tabla9[[#This Row],[D1max]]+Tabla9[[#This Row],[D1min]])/2</f>
        <v>1.1084999999999998</v>
      </c>
    </row>
    <row r="6" spans="1:19" x14ac:dyDescent="0.3">
      <c r="A6">
        <v>1.6</v>
      </c>
      <c r="B6" s="22">
        <v>0.35</v>
      </c>
      <c r="C6" s="35">
        <v>1.581</v>
      </c>
      <c r="D6" s="35">
        <v>1.496</v>
      </c>
      <c r="E6" s="34">
        <v>1.3540000000000001</v>
      </c>
      <c r="F6" s="34">
        <v>1.2909999999999999</v>
      </c>
      <c r="G6" s="35">
        <v>1.1519999999999999</v>
      </c>
      <c r="H6" s="35">
        <v>1.075</v>
      </c>
      <c r="I6" s="36">
        <v>1.373</v>
      </c>
      <c r="J6" s="36">
        <v>1.458</v>
      </c>
      <c r="K6" s="37">
        <v>1.2210000000000001</v>
      </c>
      <c r="L6" s="37">
        <v>1.321</v>
      </c>
      <c r="M6" s="47">
        <v>1.075</v>
      </c>
      <c r="N6" s="47">
        <v>1.27</v>
      </c>
      <c r="O6" s="31">
        <f>(Tabla9[[#This Row],[dmax]]+Tabla9[[#This Row],[dmin]])/2</f>
        <v>1.5385</v>
      </c>
      <c r="P6" s="31">
        <f>(Tabla9[[#This Row],[d2max]]+Tabla9[[#This Row],[d2min]])/2</f>
        <v>1.3225</v>
      </c>
      <c r="Q6" s="31">
        <f>(Tabla9[[#This Row],[d3max]]+Tabla9[[#This Row],[d3min]])/2</f>
        <v>1.1134999999999999</v>
      </c>
      <c r="R6" s="31">
        <f>(Tabla9[[#This Row],[D2_min]]+Tabla9[[#This Row],[D2_max]])/2</f>
        <v>1.4155</v>
      </c>
      <c r="S6" s="31">
        <f>(Tabla9[[#This Row],[D1max]]+Tabla9[[#This Row],[D1min]])/2</f>
        <v>1.2709999999999999</v>
      </c>
    </row>
    <row r="7" spans="1:19" x14ac:dyDescent="0.3">
      <c r="A7">
        <v>1.8</v>
      </c>
      <c r="B7" s="22">
        <v>0.35</v>
      </c>
      <c r="C7" s="35">
        <v>1.7809999999999999</v>
      </c>
      <c r="D7" s="35">
        <v>1.696</v>
      </c>
      <c r="E7" s="34">
        <v>1.554</v>
      </c>
      <c r="F7" s="34">
        <v>1.4910000000000001</v>
      </c>
      <c r="G7" s="35">
        <v>1.3520000000000001</v>
      </c>
      <c r="H7" s="35">
        <v>1.2749999999999999</v>
      </c>
      <c r="I7" s="36">
        <v>1.573</v>
      </c>
      <c r="J7" s="36">
        <v>1.6579999999999999</v>
      </c>
      <c r="K7" s="37">
        <v>1.421</v>
      </c>
      <c r="L7" s="37">
        <v>1.5209999999999999</v>
      </c>
      <c r="M7" s="47">
        <v>1.474</v>
      </c>
      <c r="N7" s="47">
        <v>1.7</v>
      </c>
      <c r="O7" s="31">
        <f>(Tabla9[[#This Row],[dmax]]+Tabla9[[#This Row],[dmin]])/2</f>
        <v>1.7384999999999999</v>
      </c>
      <c r="P7" s="31">
        <f>(Tabla9[[#This Row],[d2max]]+Tabla9[[#This Row],[d2min]])/2</f>
        <v>1.5225</v>
      </c>
      <c r="Q7" s="31">
        <f>(Tabla9[[#This Row],[d3max]]+Tabla9[[#This Row],[d3min]])/2</f>
        <v>1.3134999999999999</v>
      </c>
      <c r="R7" s="31">
        <f>(Tabla9[[#This Row],[D2_min]]+Tabla9[[#This Row],[D2_max]])/2</f>
        <v>1.6154999999999999</v>
      </c>
      <c r="S7" s="31">
        <f>(Tabla9[[#This Row],[D1max]]+Tabla9[[#This Row],[D1min]])/2</f>
        <v>1.4710000000000001</v>
      </c>
    </row>
    <row r="8" spans="1:19" x14ac:dyDescent="0.3">
      <c r="A8">
        <v>2</v>
      </c>
      <c r="B8" s="22">
        <v>0.4</v>
      </c>
      <c r="C8" s="35">
        <v>1.9810000000000001</v>
      </c>
      <c r="D8" s="35">
        <v>1.8859999999999999</v>
      </c>
      <c r="E8" s="34">
        <v>1.7210000000000001</v>
      </c>
      <c r="F8" s="34">
        <v>1.6539999999999999</v>
      </c>
      <c r="G8" s="35">
        <v>1.49</v>
      </c>
      <c r="H8" s="35">
        <v>1.407</v>
      </c>
      <c r="I8" s="36">
        <v>1.74</v>
      </c>
      <c r="J8" s="36">
        <v>1.83</v>
      </c>
      <c r="K8" s="37">
        <v>1.5669999999999999</v>
      </c>
      <c r="L8" s="37">
        <v>1.679</v>
      </c>
      <c r="M8" s="47">
        <v>1.788</v>
      </c>
      <c r="N8" s="47">
        <v>2.0699999999999998</v>
      </c>
      <c r="O8" s="31">
        <f>(Tabla9[[#This Row],[dmax]]+Tabla9[[#This Row],[dmin]])/2</f>
        <v>1.9335</v>
      </c>
      <c r="P8" s="31">
        <f>(Tabla9[[#This Row],[d2max]]+Tabla9[[#This Row],[d2min]])/2</f>
        <v>1.6875</v>
      </c>
      <c r="Q8" s="31">
        <f>(Tabla9[[#This Row],[d3max]]+Tabla9[[#This Row],[d3min]])/2</f>
        <v>1.4485000000000001</v>
      </c>
      <c r="R8" s="31">
        <f>(Tabla9[[#This Row],[D2_min]]+Tabla9[[#This Row],[D2_max]])/2</f>
        <v>1.7850000000000001</v>
      </c>
      <c r="S8" s="31">
        <f>(Tabla9[[#This Row],[D1max]]+Tabla9[[#This Row],[D1min]])/2</f>
        <v>1.623</v>
      </c>
    </row>
    <row r="9" spans="1:19" x14ac:dyDescent="0.3">
      <c r="A9">
        <v>2.2000000000000002</v>
      </c>
      <c r="B9" s="22">
        <v>0.45</v>
      </c>
      <c r="C9" s="35">
        <v>2.1800000000000002</v>
      </c>
      <c r="D9" s="35">
        <v>2.08</v>
      </c>
      <c r="E9" s="34">
        <v>1.8879999999999999</v>
      </c>
      <c r="F9" s="34">
        <v>1.8169999999999999</v>
      </c>
      <c r="G9" s="35">
        <v>1.6279999999999999</v>
      </c>
      <c r="H9" s="35">
        <v>1.54</v>
      </c>
      <c r="I9" s="36">
        <v>1.9079999999999999</v>
      </c>
      <c r="J9" s="36">
        <v>2.0030000000000001</v>
      </c>
      <c r="K9" s="37">
        <v>1.7130000000000001</v>
      </c>
      <c r="L9" s="37">
        <v>1.8380000000000001</v>
      </c>
      <c r="M9" s="47">
        <v>2.133</v>
      </c>
      <c r="N9" s="47">
        <v>2.48</v>
      </c>
      <c r="O9" s="31">
        <f>(Tabla9[[#This Row],[dmax]]+Tabla9[[#This Row],[dmin]])/2</f>
        <v>2.13</v>
      </c>
      <c r="P9" s="31">
        <f>(Tabla9[[#This Row],[d2max]]+Tabla9[[#This Row],[d2min]])/2</f>
        <v>1.8525</v>
      </c>
      <c r="Q9" s="31">
        <f>(Tabla9[[#This Row],[d3max]]+Tabla9[[#This Row],[d3min]])/2</f>
        <v>1.5840000000000001</v>
      </c>
      <c r="R9" s="31">
        <f>(Tabla9[[#This Row],[D2_min]]+Tabla9[[#This Row],[D2_max]])/2</f>
        <v>1.9555</v>
      </c>
      <c r="S9" s="31">
        <f>(Tabla9[[#This Row],[D1max]]+Tabla9[[#This Row],[D1min]])/2</f>
        <v>1.7755000000000001</v>
      </c>
    </row>
    <row r="10" spans="1:19" x14ac:dyDescent="0.3">
      <c r="A10">
        <v>2.5</v>
      </c>
      <c r="B10" s="22">
        <v>0.45</v>
      </c>
      <c r="C10" s="35">
        <v>2.48</v>
      </c>
      <c r="D10" s="35">
        <v>2.38</v>
      </c>
      <c r="E10" s="34">
        <v>2.1880000000000002</v>
      </c>
      <c r="F10" s="34">
        <v>2.117</v>
      </c>
      <c r="G10" s="35">
        <v>1.9279999999999999</v>
      </c>
      <c r="H10" s="35">
        <v>1.84</v>
      </c>
      <c r="I10" s="36">
        <v>2.2080000000000002</v>
      </c>
      <c r="J10" s="36">
        <v>2.3029999999999999</v>
      </c>
      <c r="K10" s="37">
        <v>2.0129999999999999</v>
      </c>
      <c r="L10" s="37">
        <v>2.1379999999999999</v>
      </c>
      <c r="M10" s="47">
        <v>2.98</v>
      </c>
      <c r="N10" s="47">
        <v>3.39</v>
      </c>
      <c r="O10" s="31">
        <f>(Tabla9[[#This Row],[dmax]]+Tabla9[[#This Row],[dmin]])/2</f>
        <v>2.4299999999999997</v>
      </c>
      <c r="P10" s="31">
        <f>(Tabla9[[#This Row],[d2max]]+Tabla9[[#This Row],[d2min]])/2</f>
        <v>2.1524999999999999</v>
      </c>
      <c r="Q10" s="31">
        <f>(Tabla9[[#This Row],[d3max]]+Tabla9[[#This Row],[d3min]])/2</f>
        <v>1.8839999999999999</v>
      </c>
      <c r="R10" s="31">
        <f>(Tabla9[[#This Row],[D2_min]]+Tabla9[[#This Row],[D2_max]])/2</f>
        <v>2.2555000000000001</v>
      </c>
      <c r="S10" s="31">
        <f>(Tabla9[[#This Row],[D1max]]+Tabla9[[#This Row],[D1min]])/2</f>
        <v>2.0754999999999999</v>
      </c>
    </row>
    <row r="11" spans="1:19" x14ac:dyDescent="0.3">
      <c r="A11">
        <v>3</v>
      </c>
      <c r="B11" s="22">
        <v>0.5</v>
      </c>
      <c r="C11" s="35">
        <v>2.98</v>
      </c>
      <c r="D11" s="35">
        <v>2.8740000000000001</v>
      </c>
      <c r="E11" s="34">
        <v>2.6549999999999998</v>
      </c>
      <c r="F11" s="34">
        <v>2.58</v>
      </c>
      <c r="G11" s="35">
        <v>2.367</v>
      </c>
      <c r="H11" s="35">
        <v>2.2730000000000001</v>
      </c>
      <c r="I11" s="36">
        <v>2.6749999999999998</v>
      </c>
      <c r="J11" s="36">
        <v>2.7749999999999999</v>
      </c>
      <c r="K11" s="37">
        <v>2.4590000000000001</v>
      </c>
      <c r="L11" s="37">
        <v>2.5990000000000002</v>
      </c>
      <c r="M11" s="47">
        <v>4.4749999999999996</v>
      </c>
      <c r="N11" s="47">
        <v>5.03</v>
      </c>
      <c r="O11" s="31">
        <f>(Tabla9[[#This Row],[dmax]]+Tabla9[[#This Row],[dmin]])/2</f>
        <v>2.927</v>
      </c>
      <c r="P11" s="31">
        <f>(Tabla9[[#This Row],[d2max]]+Tabla9[[#This Row],[d2min]])/2</f>
        <v>2.6174999999999997</v>
      </c>
      <c r="Q11" s="31">
        <f>(Tabla9[[#This Row],[d3max]]+Tabla9[[#This Row],[d3min]])/2</f>
        <v>2.3200000000000003</v>
      </c>
      <c r="R11" s="31">
        <f>(Tabla9[[#This Row],[D2_min]]+Tabla9[[#This Row],[D2_max]])/2</f>
        <v>2.7249999999999996</v>
      </c>
      <c r="S11" s="31">
        <f>(Tabla9[[#This Row],[D1max]]+Tabla9[[#This Row],[D1min]])/2</f>
        <v>2.5289999999999999</v>
      </c>
    </row>
    <row r="12" spans="1:19" x14ac:dyDescent="0.3">
      <c r="A12">
        <v>3.5</v>
      </c>
      <c r="B12" s="22">
        <v>0.6</v>
      </c>
      <c r="C12" s="35">
        <v>3.4790000000000001</v>
      </c>
      <c r="D12" s="35">
        <v>3.3540000000000001</v>
      </c>
      <c r="E12" s="34">
        <v>3.089</v>
      </c>
      <c r="F12" s="34">
        <v>3.004</v>
      </c>
      <c r="G12" s="35">
        <v>2.7429999999999999</v>
      </c>
      <c r="H12" s="35">
        <v>2.6349999999999998</v>
      </c>
      <c r="I12" s="36">
        <v>3.11</v>
      </c>
      <c r="J12" s="36">
        <v>3.222</v>
      </c>
      <c r="K12" s="37">
        <v>2.85</v>
      </c>
      <c r="L12" s="37">
        <v>3.01</v>
      </c>
      <c r="M12" s="47">
        <v>6</v>
      </c>
      <c r="N12" s="47">
        <v>6.78</v>
      </c>
      <c r="O12" s="31">
        <f>(Tabla9[[#This Row],[dmax]]+Tabla9[[#This Row],[dmin]])/2</f>
        <v>3.4165000000000001</v>
      </c>
      <c r="P12" s="31">
        <f>(Tabla9[[#This Row],[d2max]]+Tabla9[[#This Row],[d2min]])/2</f>
        <v>3.0465</v>
      </c>
      <c r="Q12" s="31">
        <f>(Tabla9[[#This Row],[d3max]]+Tabla9[[#This Row],[d3min]])/2</f>
        <v>2.6890000000000001</v>
      </c>
      <c r="R12" s="31">
        <f>(Tabla9[[#This Row],[D2_min]]+Tabla9[[#This Row],[D2_max]])/2</f>
        <v>3.1659999999999999</v>
      </c>
      <c r="S12" s="31">
        <f>(Tabla9[[#This Row],[D1max]]+Tabla9[[#This Row],[D1min]])/2</f>
        <v>2.9299999999999997</v>
      </c>
    </row>
    <row r="13" spans="1:19" x14ac:dyDescent="0.3">
      <c r="A13">
        <v>4</v>
      </c>
      <c r="B13" s="22">
        <v>0.7</v>
      </c>
      <c r="C13" s="35">
        <v>3.9780000000000002</v>
      </c>
      <c r="D13" s="35">
        <v>3.8380000000000001</v>
      </c>
      <c r="E13" s="34">
        <v>3.5230000000000001</v>
      </c>
      <c r="F13" s="34">
        <v>3.4329999999999998</v>
      </c>
      <c r="G13" s="35">
        <v>3.1190000000000002</v>
      </c>
      <c r="H13" s="35">
        <v>3.0019999999999998</v>
      </c>
      <c r="I13" s="36">
        <v>3.5449999999999999</v>
      </c>
      <c r="J13" s="36">
        <v>3.6629999999999998</v>
      </c>
      <c r="K13" s="37">
        <v>3.242</v>
      </c>
      <c r="L13" s="37">
        <v>3.4220000000000002</v>
      </c>
      <c r="M13" s="47">
        <v>7.7489999999999997</v>
      </c>
      <c r="N13" s="47">
        <v>8.7799999999999994</v>
      </c>
      <c r="O13" s="31">
        <f>(Tabla9[[#This Row],[dmax]]+Tabla9[[#This Row],[dmin]])/2</f>
        <v>3.9080000000000004</v>
      </c>
      <c r="P13" s="31">
        <f>(Tabla9[[#This Row],[d2max]]+Tabla9[[#This Row],[d2min]])/2</f>
        <v>3.4779999999999998</v>
      </c>
      <c r="Q13" s="31">
        <f>(Tabla9[[#This Row],[d3max]]+Tabla9[[#This Row],[d3min]])/2</f>
        <v>3.0605000000000002</v>
      </c>
      <c r="R13" s="31">
        <f>(Tabla9[[#This Row],[D2_min]]+Tabla9[[#This Row],[D2_max]])/2</f>
        <v>3.6040000000000001</v>
      </c>
      <c r="S13" s="31">
        <f>(Tabla9[[#This Row],[D1max]]+Tabla9[[#This Row],[D1min]])/2</f>
        <v>3.3319999999999999</v>
      </c>
    </row>
    <row r="14" spans="1:19" x14ac:dyDescent="0.3">
      <c r="A14">
        <v>4.5</v>
      </c>
      <c r="B14" s="22">
        <v>0.75</v>
      </c>
      <c r="C14" s="35">
        <v>4.4779999999999998</v>
      </c>
      <c r="D14" s="35">
        <v>4.3380000000000001</v>
      </c>
      <c r="E14" s="34">
        <v>3.9910000000000001</v>
      </c>
      <c r="F14" s="34">
        <v>3.9009999999999998</v>
      </c>
      <c r="G14" s="35">
        <v>3.5579999999999998</v>
      </c>
      <c r="H14" s="35">
        <v>3.4390000000000001</v>
      </c>
      <c r="I14" s="36">
        <v>4.0129999999999999</v>
      </c>
      <c r="J14" s="36">
        <v>4.1310000000000002</v>
      </c>
      <c r="K14" s="37">
        <v>3.6880000000000002</v>
      </c>
      <c r="L14" s="37">
        <v>3.8780000000000001</v>
      </c>
      <c r="M14" s="47">
        <v>10.07</v>
      </c>
      <c r="N14" s="47">
        <v>11.3</v>
      </c>
      <c r="O14" s="31">
        <f>(Tabla9[[#This Row],[dmax]]+Tabla9[[#This Row],[dmin]])/2</f>
        <v>4.4079999999999995</v>
      </c>
      <c r="P14" s="31">
        <f>(Tabla9[[#This Row],[d2max]]+Tabla9[[#This Row],[d2min]])/2</f>
        <v>3.9459999999999997</v>
      </c>
      <c r="Q14" s="31">
        <f>(Tabla9[[#This Row],[d3max]]+Tabla9[[#This Row],[d3min]])/2</f>
        <v>3.4984999999999999</v>
      </c>
      <c r="R14" s="31">
        <f>(Tabla9[[#This Row],[D2_min]]+Tabla9[[#This Row],[D2_max]])/2</f>
        <v>4.0720000000000001</v>
      </c>
      <c r="S14" s="31">
        <f>(Tabla9[[#This Row],[D1max]]+Tabla9[[#This Row],[D1min]])/2</f>
        <v>3.7830000000000004</v>
      </c>
    </row>
    <row r="15" spans="1:19" x14ac:dyDescent="0.3">
      <c r="A15">
        <v>5</v>
      </c>
      <c r="B15" s="22">
        <v>0.8</v>
      </c>
      <c r="C15" s="35">
        <v>4.976</v>
      </c>
      <c r="D15" s="35">
        <v>4.8259999999999996</v>
      </c>
      <c r="E15" s="34">
        <v>4.4560000000000004</v>
      </c>
      <c r="F15" s="34">
        <v>4.3609999999999998</v>
      </c>
      <c r="G15" s="35">
        <v>3.9950000000000001</v>
      </c>
      <c r="H15" s="35">
        <v>3.8690000000000002</v>
      </c>
      <c r="I15" s="36">
        <v>4.4800000000000004</v>
      </c>
      <c r="J15" s="36">
        <v>4.6050000000000004</v>
      </c>
      <c r="K15" s="37">
        <v>4.1340000000000003</v>
      </c>
      <c r="L15" s="37">
        <v>4.3339999999999996</v>
      </c>
      <c r="M15" s="47">
        <v>12.69</v>
      </c>
      <c r="N15" s="47">
        <v>14.2</v>
      </c>
      <c r="O15" s="31">
        <f>(Tabla9[[#This Row],[dmax]]+Tabla9[[#This Row],[dmin]])/2</f>
        <v>4.9009999999999998</v>
      </c>
      <c r="P15" s="31">
        <f>(Tabla9[[#This Row],[d2max]]+Tabla9[[#This Row],[d2min]])/2</f>
        <v>4.4085000000000001</v>
      </c>
      <c r="Q15" s="31">
        <f>(Tabla9[[#This Row],[d3max]]+Tabla9[[#This Row],[d3min]])/2</f>
        <v>3.9320000000000004</v>
      </c>
      <c r="R15" s="31">
        <f>(Tabla9[[#This Row],[D2_min]]+Tabla9[[#This Row],[D2_max]])/2</f>
        <v>4.5425000000000004</v>
      </c>
      <c r="S15" s="31">
        <f>(Tabla9[[#This Row],[D1max]]+Tabla9[[#This Row],[D1min]])/2</f>
        <v>4.234</v>
      </c>
    </row>
    <row r="16" spans="1:19" x14ac:dyDescent="0.3">
      <c r="A16">
        <v>6</v>
      </c>
      <c r="B16" s="22">
        <v>1</v>
      </c>
      <c r="C16" s="35">
        <v>5.9740000000000002</v>
      </c>
      <c r="D16" s="35">
        <v>5.7939999999999996</v>
      </c>
      <c r="E16" s="34">
        <v>5.3239999999999998</v>
      </c>
      <c r="F16" s="34">
        <v>5.2119999999999997</v>
      </c>
      <c r="G16" s="35">
        <v>4.7469999999999999</v>
      </c>
      <c r="H16" s="35">
        <v>4.5960000000000001</v>
      </c>
      <c r="I16" s="36">
        <v>5.35</v>
      </c>
      <c r="J16" s="36">
        <v>5.5</v>
      </c>
      <c r="K16" s="37">
        <v>4.9169999999999998</v>
      </c>
      <c r="L16" s="37">
        <v>5.1529999999999996</v>
      </c>
      <c r="M16" s="47">
        <v>17.89</v>
      </c>
      <c r="N16" s="47">
        <v>20.100000000000001</v>
      </c>
      <c r="O16" s="31">
        <f>(Tabla9[[#This Row],[dmax]]+Tabla9[[#This Row],[dmin]])/2</f>
        <v>5.8840000000000003</v>
      </c>
      <c r="P16" s="31">
        <f>(Tabla9[[#This Row],[d2max]]+Tabla9[[#This Row],[d2min]])/2</f>
        <v>5.2679999999999998</v>
      </c>
      <c r="Q16" s="31">
        <f>(Tabla9[[#This Row],[d3max]]+Tabla9[[#This Row],[d3min]])/2</f>
        <v>4.6715</v>
      </c>
      <c r="R16" s="31">
        <f>(Tabla9[[#This Row],[D2_min]]+Tabla9[[#This Row],[D2_max]])/2</f>
        <v>5.4249999999999998</v>
      </c>
      <c r="S16" s="31">
        <f>(Tabla9[[#This Row],[D1max]]+Tabla9[[#This Row],[D1min]])/2</f>
        <v>5.0350000000000001</v>
      </c>
    </row>
    <row r="17" spans="1:19" x14ac:dyDescent="0.3">
      <c r="A17">
        <v>7</v>
      </c>
      <c r="B17" s="22">
        <v>1</v>
      </c>
      <c r="C17" s="35">
        <v>6.9740000000000002</v>
      </c>
      <c r="D17" s="35">
        <v>6.7939999999999996</v>
      </c>
      <c r="E17" s="34">
        <v>6.3239999999999998</v>
      </c>
      <c r="F17" s="34">
        <v>6.2119999999999997</v>
      </c>
      <c r="G17" s="35">
        <v>5.7469999999999999</v>
      </c>
      <c r="H17" s="35">
        <v>5.5960000000000001</v>
      </c>
      <c r="I17" s="36">
        <v>6.35</v>
      </c>
      <c r="J17" s="36">
        <v>6.5</v>
      </c>
      <c r="K17" s="37">
        <v>5.9169999999999998</v>
      </c>
      <c r="L17" s="37">
        <v>6.1529999999999996</v>
      </c>
      <c r="M17" s="47">
        <v>26.18</v>
      </c>
      <c r="N17" s="47">
        <v>28.9</v>
      </c>
      <c r="O17" s="31">
        <f>(Tabla9[[#This Row],[dmax]]+Tabla9[[#This Row],[dmin]])/2</f>
        <v>6.8840000000000003</v>
      </c>
      <c r="P17" s="31">
        <f>(Tabla9[[#This Row],[d2max]]+Tabla9[[#This Row],[d2min]])/2</f>
        <v>6.2679999999999998</v>
      </c>
      <c r="Q17" s="31">
        <f>(Tabla9[[#This Row],[d3max]]+Tabla9[[#This Row],[d3min]])/2</f>
        <v>5.6715</v>
      </c>
      <c r="R17" s="31">
        <f>(Tabla9[[#This Row],[D2_min]]+Tabla9[[#This Row],[D2_max]])/2</f>
        <v>6.4249999999999998</v>
      </c>
      <c r="S17" s="31">
        <f>(Tabla9[[#This Row],[D1max]]+Tabla9[[#This Row],[D1min]])/2</f>
        <v>6.0350000000000001</v>
      </c>
    </row>
    <row r="18" spans="1:19" x14ac:dyDescent="0.3">
      <c r="A18">
        <v>8</v>
      </c>
      <c r="B18" s="22">
        <v>1.25</v>
      </c>
      <c r="C18" s="35">
        <v>7.9720000000000004</v>
      </c>
      <c r="D18" s="35">
        <v>7.76</v>
      </c>
      <c r="E18" s="34">
        <v>7.16</v>
      </c>
      <c r="F18" s="34">
        <v>7.0419999999999998</v>
      </c>
      <c r="G18" s="35">
        <v>6.4379999999999997</v>
      </c>
      <c r="H18" s="35">
        <v>6.2720000000000002</v>
      </c>
      <c r="I18" s="36">
        <v>7.1879999999999997</v>
      </c>
      <c r="J18" s="36">
        <v>7.3479999999999999</v>
      </c>
      <c r="K18" s="37">
        <v>6.6470000000000002</v>
      </c>
      <c r="L18" s="37">
        <v>6.9119999999999999</v>
      </c>
      <c r="M18" s="47">
        <v>32.840000000000003</v>
      </c>
      <c r="N18" s="47">
        <v>36.6</v>
      </c>
      <c r="O18" s="31">
        <f>(Tabla9[[#This Row],[dmax]]+Tabla9[[#This Row],[dmin]])/2</f>
        <v>7.8659999999999997</v>
      </c>
      <c r="P18" s="31">
        <f>(Tabla9[[#This Row],[d2max]]+Tabla9[[#This Row],[d2min]])/2</f>
        <v>7.101</v>
      </c>
      <c r="Q18" s="31">
        <f>(Tabla9[[#This Row],[d3max]]+Tabla9[[#This Row],[d3min]])/2</f>
        <v>6.3550000000000004</v>
      </c>
      <c r="R18" s="31">
        <f>(Tabla9[[#This Row],[D2_min]]+Tabla9[[#This Row],[D2_max]])/2</f>
        <v>7.2679999999999998</v>
      </c>
      <c r="S18" s="31">
        <f>(Tabla9[[#This Row],[D1max]]+Tabla9[[#This Row],[D1min]])/2</f>
        <v>6.7795000000000005</v>
      </c>
    </row>
    <row r="19" spans="1:19" x14ac:dyDescent="0.3">
      <c r="A19">
        <v>9</v>
      </c>
      <c r="B19" s="22">
        <v>1.25</v>
      </c>
      <c r="C19" s="35">
        <v>8.9719999999999995</v>
      </c>
      <c r="D19" s="35">
        <v>8.76</v>
      </c>
      <c r="E19" s="34">
        <v>8.16</v>
      </c>
      <c r="F19" s="34">
        <v>8.0419999999999998</v>
      </c>
      <c r="G19" s="35">
        <v>7.4379999999999997</v>
      </c>
      <c r="H19" s="35">
        <v>7.2720000000000002</v>
      </c>
      <c r="I19" s="36">
        <v>8.1880000000000006</v>
      </c>
      <c r="J19" s="36">
        <v>8.3480000000000008</v>
      </c>
      <c r="K19" s="37">
        <v>7.6470000000000002</v>
      </c>
      <c r="L19" s="37">
        <v>7.9119999999999999</v>
      </c>
      <c r="M19" s="47">
        <v>43.78</v>
      </c>
      <c r="N19" s="47">
        <v>48.1</v>
      </c>
      <c r="O19" s="31">
        <f>(Tabla9[[#This Row],[dmax]]+Tabla9[[#This Row],[dmin]])/2</f>
        <v>8.8659999999999997</v>
      </c>
      <c r="P19" s="31">
        <f>(Tabla9[[#This Row],[d2max]]+Tabla9[[#This Row],[d2min]])/2</f>
        <v>8.1009999999999991</v>
      </c>
      <c r="Q19" s="31">
        <f>(Tabla9[[#This Row],[d3max]]+Tabla9[[#This Row],[d3min]])/2</f>
        <v>7.3550000000000004</v>
      </c>
      <c r="R19" s="31">
        <f>(Tabla9[[#This Row],[D2_min]]+Tabla9[[#This Row],[D2_max]])/2</f>
        <v>8.2680000000000007</v>
      </c>
      <c r="S19" s="31">
        <f>(Tabla9[[#This Row],[D1max]]+Tabla9[[#This Row],[D1min]])/2</f>
        <v>7.7795000000000005</v>
      </c>
    </row>
    <row r="20" spans="1:19" x14ac:dyDescent="0.3">
      <c r="A20">
        <v>10</v>
      </c>
      <c r="B20" s="22">
        <v>1.5</v>
      </c>
      <c r="C20" s="35">
        <v>9.968</v>
      </c>
      <c r="D20" s="35">
        <v>9.7319999999999993</v>
      </c>
      <c r="E20" s="34">
        <v>8.9939999999999998</v>
      </c>
      <c r="F20" s="34">
        <v>8.8620000000000001</v>
      </c>
      <c r="G20" s="35">
        <v>8.1280000000000001</v>
      </c>
      <c r="H20" s="35">
        <v>7.9379999999999997</v>
      </c>
      <c r="I20" s="36">
        <v>9.0259999999999998</v>
      </c>
      <c r="J20" s="36">
        <v>9.2059999999999995</v>
      </c>
      <c r="K20" s="37">
        <v>8.3759999999999994</v>
      </c>
      <c r="L20" s="37">
        <v>8.6760000000000002</v>
      </c>
      <c r="M20" s="47">
        <v>52.3</v>
      </c>
      <c r="N20" s="47">
        <v>58</v>
      </c>
      <c r="O20" s="31">
        <f>(Tabla9[[#This Row],[dmax]]+Tabla9[[#This Row],[dmin]])/2</f>
        <v>9.85</v>
      </c>
      <c r="P20" s="31">
        <f>(Tabla9[[#This Row],[d2max]]+Tabla9[[#This Row],[d2min]])/2</f>
        <v>8.9280000000000008</v>
      </c>
      <c r="Q20" s="31">
        <f>(Tabla9[[#This Row],[d3max]]+Tabla9[[#This Row],[d3min]])/2</f>
        <v>8.0329999999999995</v>
      </c>
      <c r="R20" s="31">
        <f>(Tabla9[[#This Row],[D2_min]]+Tabla9[[#This Row],[D2_max]])/2</f>
        <v>9.1159999999999997</v>
      </c>
      <c r="S20" s="31">
        <f>(Tabla9[[#This Row],[D1max]]+Tabla9[[#This Row],[D1min]])/2</f>
        <v>8.5259999999999998</v>
      </c>
    </row>
    <row r="21" spans="1:19" x14ac:dyDescent="0.3">
      <c r="A21">
        <v>11</v>
      </c>
      <c r="B21" s="22">
        <v>1.5</v>
      </c>
      <c r="C21" s="35">
        <v>10.968</v>
      </c>
      <c r="D21" s="35">
        <v>10.731999999999999</v>
      </c>
      <c r="E21" s="34">
        <v>9.9939999999999998</v>
      </c>
      <c r="F21" s="34">
        <v>9.8620000000000001</v>
      </c>
      <c r="G21" s="35">
        <v>9.1280000000000001</v>
      </c>
      <c r="H21" s="35">
        <v>8.9380000000000006</v>
      </c>
      <c r="I21" s="36">
        <v>10.026</v>
      </c>
      <c r="J21" s="36">
        <v>10.206</v>
      </c>
      <c r="K21" s="37">
        <v>9.3759999999999994</v>
      </c>
      <c r="L21" s="37">
        <v>9.6760000000000002</v>
      </c>
      <c r="M21" s="47">
        <v>65.900000000000006</v>
      </c>
      <c r="N21" s="47">
        <v>72.3</v>
      </c>
      <c r="O21" s="31">
        <f>(Tabla9[[#This Row],[dmax]]+Tabla9[[#This Row],[dmin]])/2</f>
        <v>10.85</v>
      </c>
      <c r="P21" s="31">
        <f>(Tabla9[[#This Row],[d2max]]+Tabla9[[#This Row],[d2min]])/2</f>
        <v>9.9280000000000008</v>
      </c>
      <c r="Q21" s="31">
        <f>(Tabla9[[#This Row],[d3max]]+Tabla9[[#This Row],[d3min]])/2</f>
        <v>9.0330000000000013</v>
      </c>
      <c r="R21" s="31">
        <f>(Tabla9[[#This Row],[D2_min]]+Tabla9[[#This Row],[D2_max]])/2</f>
        <v>10.116</v>
      </c>
      <c r="S21" s="31">
        <f>(Tabla9[[#This Row],[D1max]]+Tabla9[[#This Row],[D1min]])/2</f>
        <v>9.5259999999999998</v>
      </c>
    </row>
    <row r="22" spans="1:19" x14ac:dyDescent="0.3">
      <c r="A22">
        <v>12</v>
      </c>
      <c r="B22" s="22">
        <v>1.75</v>
      </c>
      <c r="C22" s="35">
        <v>11.965999999999999</v>
      </c>
      <c r="D22" s="35">
        <v>11.701000000000001</v>
      </c>
      <c r="E22" s="34">
        <v>10.829000000000001</v>
      </c>
      <c r="F22" s="34">
        <v>10.679</v>
      </c>
      <c r="G22" s="35">
        <v>9.8190000000000008</v>
      </c>
      <c r="H22" s="35">
        <v>9.6020000000000003</v>
      </c>
      <c r="I22" s="36">
        <v>10.863</v>
      </c>
      <c r="J22" s="36">
        <v>11.063000000000001</v>
      </c>
      <c r="K22" s="37">
        <v>10.106</v>
      </c>
      <c r="L22" s="37">
        <v>10.441000000000001</v>
      </c>
      <c r="M22" s="47">
        <v>76.25</v>
      </c>
      <c r="N22" s="47">
        <v>84.3</v>
      </c>
      <c r="O22" s="31">
        <f>(Tabla9[[#This Row],[dmax]]+Tabla9[[#This Row],[dmin]])/2</f>
        <v>11.833500000000001</v>
      </c>
      <c r="P22" s="31">
        <f>(Tabla9[[#This Row],[d2max]]+Tabla9[[#This Row],[d2min]])/2</f>
        <v>10.754000000000001</v>
      </c>
      <c r="Q22" s="31">
        <f>(Tabla9[[#This Row],[d3max]]+Tabla9[[#This Row],[d3min]])/2</f>
        <v>9.7104999999999997</v>
      </c>
      <c r="R22" s="31">
        <f>(Tabla9[[#This Row],[D2_min]]+Tabla9[[#This Row],[D2_max]])/2</f>
        <v>10.963000000000001</v>
      </c>
      <c r="S22" s="31">
        <f>(Tabla9[[#This Row],[D1max]]+Tabla9[[#This Row],[D1min]])/2</f>
        <v>10.2735</v>
      </c>
    </row>
    <row r="23" spans="1:19" x14ac:dyDescent="0.3">
      <c r="A23">
        <v>14</v>
      </c>
      <c r="B23" s="22">
        <v>2</v>
      </c>
      <c r="C23" s="35">
        <v>13.962</v>
      </c>
      <c r="D23" s="35">
        <v>13.682</v>
      </c>
      <c r="E23" s="34">
        <v>12.663</v>
      </c>
      <c r="F23" s="34">
        <v>12.503</v>
      </c>
      <c r="G23" s="35">
        <v>11.507999999999999</v>
      </c>
      <c r="H23" s="35">
        <v>11.271000000000001</v>
      </c>
      <c r="I23" s="36">
        <v>12.701000000000001</v>
      </c>
      <c r="J23" s="36">
        <v>12.913</v>
      </c>
      <c r="K23" s="37">
        <v>11.835000000000001</v>
      </c>
      <c r="L23" s="37">
        <v>12.21</v>
      </c>
      <c r="M23" s="47">
        <v>104.7</v>
      </c>
      <c r="N23" s="47">
        <v>115</v>
      </c>
      <c r="O23" s="31">
        <f>(Tabla9[[#This Row],[dmax]]+Tabla9[[#This Row],[dmin]])/2</f>
        <v>13.821999999999999</v>
      </c>
      <c r="P23" s="31">
        <f>(Tabla9[[#This Row],[d2max]]+Tabla9[[#This Row],[d2min]])/2</f>
        <v>12.583</v>
      </c>
      <c r="Q23" s="31">
        <f>(Tabla9[[#This Row],[d3max]]+Tabla9[[#This Row],[d3min]])/2</f>
        <v>11.3895</v>
      </c>
      <c r="R23" s="31">
        <f>(Tabla9[[#This Row],[D2_min]]+Tabla9[[#This Row],[D2_max]])/2</f>
        <v>12.807</v>
      </c>
      <c r="S23" s="31">
        <f>(Tabla9[[#This Row],[D1max]]+Tabla9[[#This Row],[D1min]])/2</f>
        <v>12.022500000000001</v>
      </c>
    </row>
    <row r="24" spans="1:19" x14ac:dyDescent="0.3">
      <c r="A24">
        <v>16</v>
      </c>
      <c r="B24" s="22">
        <v>2</v>
      </c>
      <c r="C24" s="35">
        <v>15.962</v>
      </c>
      <c r="D24" s="35">
        <v>15.682</v>
      </c>
      <c r="E24" s="34">
        <v>14.663</v>
      </c>
      <c r="F24" s="34">
        <v>14.503</v>
      </c>
      <c r="G24" s="35">
        <v>13.507999999999999</v>
      </c>
      <c r="H24" s="35">
        <v>13.271000000000001</v>
      </c>
      <c r="I24" s="36">
        <v>14.701000000000001</v>
      </c>
      <c r="J24" s="36">
        <v>14.913</v>
      </c>
      <c r="K24" s="37">
        <v>13.835000000000001</v>
      </c>
      <c r="L24" s="37">
        <v>14.21</v>
      </c>
      <c r="M24" s="47">
        <v>144.1</v>
      </c>
      <c r="N24" s="47">
        <v>157</v>
      </c>
      <c r="O24" s="31">
        <f>(Tabla9[[#This Row],[dmax]]+Tabla9[[#This Row],[dmin]])/2</f>
        <v>15.821999999999999</v>
      </c>
      <c r="P24" s="31">
        <f>(Tabla9[[#This Row],[d2max]]+Tabla9[[#This Row],[d2min]])/2</f>
        <v>14.583</v>
      </c>
      <c r="Q24" s="31">
        <f>(Tabla9[[#This Row],[d3max]]+Tabla9[[#This Row],[d3min]])/2</f>
        <v>13.3895</v>
      </c>
      <c r="R24" s="31">
        <f>(Tabla9[[#This Row],[D2_min]]+Tabla9[[#This Row],[D2_max]])/2</f>
        <v>14.807</v>
      </c>
      <c r="S24" s="31">
        <f>(Tabla9[[#This Row],[D1max]]+Tabla9[[#This Row],[D1min]])/2</f>
        <v>14.022500000000001</v>
      </c>
    </row>
    <row r="25" spans="1:19" x14ac:dyDescent="0.3">
      <c r="A25">
        <v>18</v>
      </c>
      <c r="B25" s="22">
        <v>2.5</v>
      </c>
      <c r="C25" s="35">
        <v>17.957999999999998</v>
      </c>
      <c r="D25" s="35">
        <v>17.623000000000001</v>
      </c>
      <c r="E25" s="34">
        <v>16.334</v>
      </c>
      <c r="F25" s="34">
        <v>16.164000000000001</v>
      </c>
      <c r="G25" s="35">
        <v>14.891</v>
      </c>
      <c r="H25" s="35">
        <v>14.625</v>
      </c>
      <c r="I25" s="36">
        <v>16.376000000000001</v>
      </c>
      <c r="J25" s="36">
        <v>16.600000000000001</v>
      </c>
      <c r="K25" s="37">
        <v>15.294</v>
      </c>
      <c r="L25" s="37">
        <v>15.744</v>
      </c>
      <c r="M25" s="47">
        <v>175.1</v>
      </c>
      <c r="N25" s="47">
        <v>193</v>
      </c>
      <c r="O25" s="31">
        <f>(Tabla9[[#This Row],[dmax]]+Tabla9[[#This Row],[dmin]])/2</f>
        <v>17.790500000000002</v>
      </c>
      <c r="P25" s="31">
        <f>(Tabla9[[#This Row],[d2max]]+Tabla9[[#This Row],[d2min]])/2</f>
        <v>16.249000000000002</v>
      </c>
      <c r="Q25" s="31">
        <f>(Tabla9[[#This Row],[d3max]]+Tabla9[[#This Row],[d3min]])/2</f>
        <v>14.757999999999999</v>
      </c>
      <c r="R25" s="31">
        <f>(Tabla9[[#This Row],[D2_min]]+Tabla9[[#This Row],[D2_max]])/2</f>
        <v>16.488</v>
      </c>
      <c r="S25" s="31">
        <f>(Tabla9[[#This Row],[D1max]]+Tabla9[[#This Row],[D1min]])/2</f>
        <v>15.519</v>
      </c>
    </row>
    <row r="26" spans="1:19" x14ac:dyDescent="0.3">
      <c r="A26">
        <v>20</v>
      </c>
      <c r="B26" s="22">
        <v>2.5</v>
      </c>
      <c r="C26" s="35">
        <v>19.957999999999998</v>
      </c>
      <c r="D26" s="35">
        <v>19.623000000000001</v>
      </c>
      <c r="E26" s="34">
        <v>18.334</v>
      </c>
      <c r="F26" s="34">
        <v>18.164000000000001</v>
      </c>
      <c r="G26" s="35">
        <v>16.890999999999998</v>
      </c>
      <c r="H26" s="35">
        <v>16.625</v>
      </c>
      <c r="I26" s="36">
        <v>18.376000000000001</v>
      </c>
      <c r="J26" s="36">
        <v>18.600000000000001</v>
      </c>
      <c r="K26" s="37">
        <v>17.294</v>
      </c>
      <c r="L26" s="37">
        <v>17.744</v>
      </c>
      <c r="M26" s="47">
        <v>225.2</v>
      </c>
      <c r="N26" s="47">
        <v>245</v>
      </c>
      <c r="O26" s="31">
        <f>(Tabla9[[#This Row],[dmax]]+Tabla9[[#This Row],[dmin]])/2</f>
        <v>19.790500000000002</v>
      </c>
      <c r="P26" s="31">
        <f>(Tabla9[[#This Row],[d2max]]+Tabla9[[#This Row],[d2min]])/2</f>
        <v>18.249000000000002</v>
      </c>
      <c r="Q26" s="31">
        <f>(Tabla9[[#This Row],[d3max]]+Tabla9[[#This Row],[d3min]])/2</f>
        <v>16.757999999999999</v>
      </c>
      <c r="R26" s="31">
        <f>(Tabla9[[#This Row],[D2_min]]+Tabla9[[#This Row],[D2_max]])/2</f>
        <v>18.488</v>
      </c>
      <c r="S26" s="31">
        <f>(Tabla9[[#This Row],[D1max]]+Tabla9[[#This Row],[D1min]])/2</f>
        <v>17.518999999999998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E215F-80F0-44E1-8D72-A05CD6990F70}">
  <dimension ref="A1:X123"/>
  <sheetViews>
    <sheetView zoomScale="70" zoomScaleNormal="70" workbookViewId="0">
      <selection activeCell="G84" sqref="G84"/>
    </sheetView>
  </sheetViews>
  <sheetFormatPr baseColWidth="10" defaultRowHeight="14.4" x14ac:dyDescent="0.3"/>
  <cols>
    <col min="1" max="1" width="7.109375" bestFit="1" customWidth="1"/>
    <col min="2" max="2" width="13.44140625" customWidth="1"/>
    <col min="3" max="3" width="10.5546875" customWidth="1"/>
    <col min="7" max="7" width="13.88671875" customWidth="1"/>
    <col min="8" max="8" width="14.44140625" customWidth="1"/>
    <col min="9" max="9" width="8.88671875" customWidth="1"/>
    <col min="11" max="11" width="12.88671875" customWidth="1"/>
    <col min="22" max="22" width="9.6640625" bestFit="1" customWidth="1"/>
    <col min="24" max="24" width="6.109375" bestFit="1" customWidth="1"/>
  </cols>
  <sheetData>
    <row r="1" spans="1:14" ht="28.8" x14ac:dyDescent="0.3">
      <c r="A1" s="57" t="s">
        <v>306</v>
      </c>
      <c r="B1" s="58" t="s">
        <v>299</v>
      </c>
      <c r="C1" s="58" t="s">
        <v>340</v>
      </c>
      <c r="D1" s="58" t="s">
        <v>300</v>
      </c>
      <c r="E1" s="58" t="s">
        <v>323</v>
      </c>
      <c r="F1" s="58" t="s">
        <v>324</v>
      </c>
      <c r="G1" s="58" t="s">
        <v>325</v>
      </c>
      <c r="H1" s="58" t="s">
        <v>326</v>
      </c>
      <c r="I1" s="58" t="s">
        <v>91</v>
      </c>
      <c r="J1" s="58" t="s">
        <v>327</v>
      </c>
      <c r="K1" s="59" t="s">
        <v>328</v>
      </c>
      <c r="L1" s="58" t="s">
        <v>730</v>
      </c>
      <c r="M1" s="58" t="s">
        <v>731</v>
      </c>
      <c r="N1" s="58" t="s">
        <v>742</v>
      </c>
    </row>
    <row r="2" spans="1:14" x14ac:dyDescent="0.3">
      <c r="A2" s="31">
        <v>2</v>
      </c>
      <c r="B2" s="65" t="s">
        <v>301</v>
      </c>
      <c r="C2" s="31">
        <f t="shared" ref="C2:C57" si="0">A2*1 /1000</f>
        <v>2E-3</v>
      </c>
      <c r="D2" s="31">
        <f>Helicoil!E2/1000</f>
        <v>2.8999999999999998E-3</v>
      </c>
      <c r="E2" s="31">
        <f>Helicoil!F2/1000</f>
        <v>2.5999999999999999E-3</v>
      </c>
      <c r="F2" s="31">
        <f>Helicoil!G2/1000</f>
        <v>2.8E-3</v>
      </c>
      <c r="G2" s="31">
        <f>Helicoil!H2/1000</f>
        <v>2.0899999999999998E-3</v>
      </c>
      <c r="H2" s="69">
        <f>Helicoil!I2</f>
        <v>2.1800000000000002</v>
      </c>
      <c r="I2" s="31">
        <f>Helicoil!J2/1000</f>
        <v>2.1000000000000003E-3</v>
      </c>
      <c r="J2" s="31">
        <f>Helicoil!K2/1000</f>
        <v>1.8E-3</v>
      </c>
      <c r="K2" s="31">
        <f>Helicoil!L2/1000</f>
        <v>2.5200000000000001E-3</v>
      </c>
      <c r="L2" s="31">
        <f>(Tabla1[[#This Row],[d1_min]]+Tabla1[[#This Row],[d1_max]])/2</f>
        <v>2.7000000000000001E-3</v>
      </c>
      <c r="M2" s="106">
        <f>(Tabla1[[#This Row],[D1Hc_min]]+Tabla1[[#This Row],[D1Hc_max]]/1000)/2</f>
        <v>2.1349999999999997E-3</v>
      </c>
      <c r="N2" s="31">
        <f>Tabla1[[#This Row],[W]]*1000</f>
        <v>2.9</v>
      </c>
    </row>
    <row r="3" spans="1:14" x14ac:dyDescent="0.3">
      <c r="A3" s="31">
        <v>2</v>
      </c>
      <c r="B3" s="61" t="s">
        <v>302</v>
      </c>
      <c r="C3" s="61">
        <f>A3*1.5 /1000</f>
        <v>3.0000000000000001E-3</v>
      </c>
      <c r="D3" s="61">
        <f>Helicoil!E3/1000</f>
        <v>4.9000000000000007E-3</v>
      </c>
      <c r="E3" s="61">
        <f>Helicoil!F3/1000</f>
        <v>2.5999999999999999E-3</v>
      </c>
      <c r="F3" s="61">
        <f>Helicoil!G3/1000</f>
        <v>2.8E-3</v>
      </c>
      <c r="G3" s="61">
        <f>Helicoil!H3/1000</f>
        <v>2.0899999999999998E-3</v>
      </c>
      <c r="H3" s="68">
        <f>Helicoil!I3</f>
        <v>2.1800000000000002</v>
      </c>
      <c r="I3" s="61">
        <f>Helicoil!J3/1000</f>
        <v>2.1000000000000003E-3</v>
      </c>
      <c r="J3" s="61">
        <f>Helicoil!K3/1000</f>
        <v>2.8E-3</v>
      </c>
      <c r="K3" s="61">
        <f>Helicoil!L3/1000</f>
        <v>2.5200000000000001E-3</v>
      </c>
      <c r="L3" s="31">
        <f>(Tabla1[[#This Row],[d1_min]]+Tabla1[[#This Row],[d1_max]])/2</f>
        <v>2.7000000000000001E-3</v>
      </c>
      <c r="M3" s="106">
        <f>(Tabla1[[#This Row],[D1Hc_min]]+Tabla1[[#This Row],[D1Hc_max]]/1000)/2</f>
        <v>2.1349999999999997E-3</v>
      </c>
      <c r="N3" s="31">
        <f>Tabla1[[#This Row],[W]]*1000</f>
        <v>4.9000000000000004</v>
      </c>
    </row>
    <row r="4" spans="1:14" x14ac:dyDescent="0.3">
      <c r="A4" s="31">
        <v>2</v>
      </c>
      <c r="B4" s="61" t="s">
        <v>303</v>
      </c>
      <c r="C4" s="61">
        <f>A4*2 /1000</f>
        <v>4.0000000000000001E-3</v>
      </c>
      <c r="D4" s="61">
        <f>Helicoil!E4/1000</f>
        <v>6.9000000000000008E-3</v>
      </c>
      <c r="E4" s="61">
        <f>Helicoil!F4/1000</f>
        <v>2.5999999999999999E-3</v>
      </c>
      <c r="F4" s="61">
        <f>Helicoil!G4/1000</f>
        <v>2.8E-3</v>
      </c>
      <c r="G4" s="61">
        <f>Helicoil!H4/1000</f>
        <v>2.0899999999999998E-3</v>
      </c>
      <c r="H4" s="68">
        <f>Helicoil!I4</f>
        <v>2.1800000000000002</v>
      </c>
      <c r="I4" s="61">
        <f>Helicoil!J4/1000</f>
        <v>2.1000000000000003E-3</v>
      </c>
      <c r="J4" s="61">
        <f>Helicoil!K4/1000</f>
        <v>3.8E-3</v>
      </c>
      <c r="K4" s="61">
        <f>Helicoil!L4/1000</f>
        <v>2.5200000000000001E-3</v>
      </c>
      <c r="L4" s="31">
        <f>(Tabla1[[#This Row],[d1_min]]+Tabla1[[#This Row],[d1_max]])/2</f>
        <v>2.7000000000000001E-3</v>
      </c>
      <c r="M4" s="106">
        <f>(Tabla1[[#This Row],[D1Hc_min]]+Tabla1[[#This Row],[D1Hc_max]]/1000)/2</f>
        <v>2.1349999999999997E-3</v>
      </c>
      <c r="N4" s="31">
        <f>Tabla1[[#This Row],[W]]*1000</f>
        <v>6.9</v>
      </c>
    </row>
    <row r="5" spans="1:14" x14ac:dyDescent="0.3">
      <c r="A5" s="31">
        <v>2</v>
      </c>
      <c r="B5" s="61" t="s">
        <v>304</v>
      </c>
      <c r="C5" s="61">
        <f>A5*2.5 /1000</f>
        <v>5.0000000000000001E-3</v>
      </c>
      <c r="D5" s="61">
        <f>Helicoil!E5/1000</f>
        <v>8.8999999999999999E-3</v>
      </c>
      <c r="E5" s="61">
        <f>Helicoil!F5/1000</f>
        <v>2.5999999999999999E-3</v>
      </c>
      <c r="F5" s="61">
        <f>Helicoil!G5/1000</f>
        <v>2.8E-3</v>
      </c>
      <c r="G5" s="61">
        <f>Helicoil!H5/1000</f>
        <v>2.0899999999999998E-3</v>
      </c>
      <c r="H5" s="68">
        <f>Helicoil!I5</f>
        <v>2.1800000000000002</v>
      </c>
      <c r="I5" s="61">
        <f>Helicoil!J5/1000</f>
        <v>2.1000000000000003E-3</v>
      </c>
      <c r="J5" s="61">
        <f>Helicoil!K5/1000</f>
        <v>4.7999999999999996E-3</v>
      </c>
      <c r="K5" s="61">
        <f>Helicoil!L5/1000</f>
        <v>2.5200000000000001E-3</v>
      </c>
      <c r="L5" s="31">
        <f>(Tabla1[[#This Row],[d1_min]]+Tabla1[[#This Row],[d1_max]])/2</f>
        <v>2.7000000000000001E-3</v>
      </c>
      <c r="M5" s="106">
        <f>(Tabla1[[#This Row],[D1Hc_min]]+Tabla1[[#This Row],[D1Hc_max]]/1000)/2</f>
        <v>2.1349999999999997E-3</v>
      </c>
      <c r="N5" s="31">
        <f>Tabla1[[#This Row],[W]]*1000</f>
        <v>8.9</v>
      </c>
    </row>
    <row r="6" spans="1:14" ht="15" thickBot="1" x14ac:dyDescent="0.35">
      <c r="A6" s="62">
        <v>2</v>
      </c>
      <c r="B6" s="61" t="s">
        <v>305</v>
      </c>
      <c r="C6" s="61">
        <f>A6*3 /1000</f>
        <v>6.0000000000000001E-3</v>
      </c>
      <c r="D6" s="61">
        <f>Helicoil!E6/1000</f>
        <v>1.09E-2</v>
      </c>
      <c r="E6" s="61">
        <f>Helicoil!F6/1000</f>
        <v>2.5999999999999999E-3</v>
      </c>
      <c r="F6" s="61">
        <f>Helicoil!G6/1000</f>
        <v>2.8E-3</v>
      </c>
      <c r="G6" s="61">
        <f>Helicoil!H6/1000</f>
        <v>2.0899999999999998E-3</v>
      </c>
      <c r="H6" s="68">
        <f>Helicoil!I6</f>
        <v>2.1800000000000002</v>
      </c>
      <c r="I6" s="61">
        <f>Helicoil!J6/1000</f>
        <v>2.1000000000000003E-3</v>
      </c>
      <c r="J6" s="61">
        <f>Helicoil!K6/1000</f>
        <v>5.7999999999999996E-3</v>
      </c>
      <c r="K6" s="61">
        <f>Helicoil!L6/1000</f>
        <v>2.5200000000000001E-3</v>
      </c>
      <c r="L6" s="31">
        <f>(Tabla1[[#This Row],[d1_min]]+Tabla1[[#This Row],[d1_max]])/2</f>
        <v>2.7000000000000001E-3</v>
      </c>
      <c r="M6" s="106">
        <f>(Tabla1[[#This Row],[D1Hc_min]]+Tabla1[[#This Row],[D1Hc_max]]/1000)/2</f>
        <v>2.1349999999999997E-3</v>
      </c>
      <c r="N6" s="31">
        <f>Tabla1[[#This Row],[W]]*1000</f>
        <v>10.9</v>
      </c>
    </row>
    <row r="7" spans="1:14" x14ac:dyDescent="0.3">
      <c r="A7" s="31">
        <v>2.5</v>
      </c>
      <c r="B7" s="61" t="s">
        <v>301</v>
      </c>
      <c r="C7" s="31">
        <f t="shared" si="0"/>
        <v>2.5000000000000001E-3</v>
      </c>
      <c r="D7" s="61">
        <f>Helicoil!E7/1000</f>
        <v>3.5000000000000001E-3</v>
      </c>
      <c r="E7" s="61">
        <f>Helicoil!F7/1000</f>
        <v>3.3E-3</v>
      </c>
      <c r="F7" s="61">
        <f>Helicoil!G7/1000</f>
        <v>3.5000000000000001E-3</v>
      </c>
      <c r="G7" s="61">
        <f>Helicoil!H7/1000</f>
        <v>2.5999999999999999E-3</v>
      </c>
      <c r="H7" s="68">
        <f>Helicoil!I7</f>
        <v>2.7</v>
      </c>
      <c r="I7" s="61">
        <f>Helicoil!J7/1000</f>
        <v>2.5999999999999999E-3</v>
      </c>
      <c r="J7" s="61">
        <f>Helicoil!K7/1000</f>
        <v>2.3E-3</v>
      </c>
      <c r="K7" s="61">
        <f>Helicoil!L7/1000</f>
        <v>3.0800000000000003E-3</v>
      </c>
      <c r="L7" s="31">
        <f>(Tabla1[[#This Row],[d1_min]]+Tabla1[[#This Row],[d1_max]])/2</f>
        <v>3.4000000000000002E-3</v>
      </c>
      <c r="M7" s="106">
        <f>(Tabla1[[#This Row],[D1Hc_min]]+Tabla1[[#This Row],[D1Hc_max]]/1000)/2</f>
        <v>2.65E-3</v>
      </c>
      <c r="N7" s="31">
        <f>Tabla1[[#This Row],[W]]*1000</f>
        <v>3.5</v>
      </c>
    </row>
    <row r="8" spans="1:14" x14ac:dyDescent="0.3">
      <c r="A8" s="31">
        <v>2.5</v>
      </c>
      <c r="B8" s="61" t="s">
        <v>302</v>
      </c>
      <c r="C8" s="61">
        <f>A8*1.5 /1000</f>
        <v>3.7499999999999999E-3</v>
      </c>
      <c r="D8" s="61">
        <f>Helicoil!E8/1000</f>
        <v>5.9000000000000007E-3</v>
      </c>
      <c r="E8" s="61">
        <f>Helicoil!F8/1000</f>
        <v>3.3E-3</v>
      </c>
      <c r="F8" s="61">
        <f>Helicoil!G8/1000</f>
        <v>3.5000000000000001E-3</v>
      </c>
      <c r="G8" s="61">
        <f>Helicoil!H8/1000</f>
        <v>2.5999999999999999E-3</v>
      </c>
      <c r="H8" s="68">
        <f>Helicoil!I8</f>
        <v>2.7</v>
      </c>
      <c r="I8" s="61">
        <f>Helicoil!J8/1000</f>
        <v>2.5999999999999999E-3</v>
      </c>
      <c r="J8" s="61">
        <f>Helicoil!K8/1000</f>
        <v>3.5000000000000001E-3</v>
      </c>
      <c r="K8" s="61">
        <f>Helicoil!L8/1000</f>
        <v>3.0800000000000003E-3</v>
      </c>
      <c r="L8" s="31">
        <f>(Tabla1[[#This Row],[d1_min]]+Tabla1[[#This Row],[d1_max]])/2</f>
        <v>3.4000000000000002E-3</v>
      </c>
      <c r="M8" s="106">
        <f>(Tabla1[[#This Row],[D1Hc_min]]+Tabla1[[#This Row],[D1Hc_max]]/1000)/2</f>
        <v>2.65E-3</v>
      </c>
      <c r="N8" s="31">
        <f>Tabla1[[#This Row],[W]]*1000</f>
        <v>5.9</v>
      </c>
    </row>
    <row r="9" spans="1:14" x14ac:dyDescent="0.3">
      <c r="A9" s="31">
        <v>2.5</v>
      </c>
      <c r="B9" s="61" t="s">
        <v>303</v>
      </c>
      <c r="C9" s="61">
        <f>A9*2 /1000</f>
        <v>5.0000000000000001E-3</v>
      </c>
      <c r="D9" s="61">
        <f>Helicoil!E9/1000</f>
        <v>8.0999999999999996E-3</v>
      </c>
      <c r="E9" s="61">
        <f>Helicoil!F9/1000</f>
        <v>3.3E-3</v>
      </c>
      <c r="F9" s="61">
        <f>Helicoil!G9/1000</f>
        <v>3.5000000000000001E-3</v>
      </c>
      <c r="G9" s="61">
        <f>Helicoil!H9/1000</f>
        <v>2.5999999999999999E-3</v>
      </c>
      <c r="H9" s="68">
        <f>Helicoil!I9</f>
        <v>2.7</v>
      </c>
      <c r="I9" s="61">
        <f>Helicoil!J9/1000</f>
        <v>2.5999999999999999E-3</v>
      </c>
      <c r="J9" s="61">
        <f>Helicoil!K9/1000</f>
        <v>4.7999999999999996E-3</v>
      </c>
      <c r="K9" s="61">
        <f>Helicoil!L9/1000</f>
        <v>3.0800000000000003E-3</v>
      </c>
      <c r="L9" s="31">
        <f>(Tabla1[[#This Row],[d1_min]]+Tabla1[[#This Row],[d1_max]])/2</f>
        <v>3.4000000000000002E-3</v>
      </c>
      <c r="M9" s="106">
        <f>(Tabla1[[#This Row],[D1Hc_min]]+Tabla1[[#This Row],[D1Hc_max]]/1000)/2</f>
        <v>2.65E-3</v>
      </c>
      <c r="N9" s="31">
        <f>Tabla1[[#This Row],[W]]*1000</f>
        <v>8.1</v>
      </c>
    </row>
    <row r="10" spans="1:14" x14ac:dyDescent="0.3">
      <c r="A10" s="31">
        <v>2.5</v>
      </c>
      <c r="B10" s="61" t="s">
        <v>304</v>
      </c>
      <c r="C10" s="61">
        <f>A10*2.5 /1000</f>
        <v>6.2500000000000003E-3</v>
      </c>
      <c r="D10" s="61">
        <f>Helicoil!E10/1000</f>
        <v>1.0500000000000001E-2</v>
      </c>
      <c r="E10" s="61">
        <f>Helicoil!F10/1000</f>
        <v>3.3E-3</v>
      </c>
      <c r="F10" s="61">
        <f>Helicoil!G10/1000</f>
        <v>3.5000000000000001E-3</v>
      </c>
      <c r="G10" s="61">
        <f>Helicoil!H10/1000</f>
        <v>2.5999999999999999E-3</v>
      </c>
      <c r="H10" s="68">
        <f>Helicoil!I10</f>
        <v>2.7</v>
      </c>
      <c r="I10" s="61">
        <f>Helicoil!J10/1000</f>
        <v>2.5999999999999999E-3</v>
      </c>
      <c r="J10" s="61">
        <f>Helicoil!K10/1000</f>
        <v>6.0000000000000001E-3</v>
      </c>
      <c r="K10" s="61">
        <f>Helicoil!L10/1000</f>
        <v>3.0800000000000003E-3</v>
      </c>
      <c r="L10" s="31">
        <f>(Tabla1[[#This Row],[d1_min]]+Tabla1[[#This Row],[d1_max]])/2</f>
        <v>3.4000000000000002E-3</v>
      </c>
      <c r="M10" s="106">
        <f>(Tabla1[[#This Row],[D1Hc_min]]+Tabla1[[#This Row],[D1Hc_max]]/1000)/2</f>
        <v>2.65E-3</v>
      </c>
      <c r="N10" s="31">
        <f>Tabla1[[#This Row],[W]]*1000</f>
        <v>10.5</v>
      </c>
    </row>
    <row r="11" spans="1:14" ht="15" thickBot="1" x14ac:dyDescent="0.35">
      <c r="A11" s="62">
        <v>2.5</v>
      </c>
      <c r="B11" s="61" t="s">
        <v>305</v>
      </c>
      <c r="C11" s="61">
        <f>A11*3 /1000</f>
        <v>7.4999999999999997E-3</v>
      </c>
      <c r="D11" s="61">
        <f>Helicoil!E11/1000</f>
        <v>1.29E-2</v>
      </c>
      <c r="E11" s="61">
        <f>Helicoil!F11/1000</f>
        <v>3.3E-3</v>
      </c>
      <c r="F11" s="61">
        <f>Helicoil!G11/1000</f>
        <v>3.5000000000000001E-3</v>
      </c>
      <c r="G11" s="61">
        <f>Helicoil!H11/1000</f>
        <v>2.5999999999999999E-3</v>
      </c>
      <c r="H11" s="68">
        <f>Helicoil!I11</f>
        <v>2.7</v>
      </c>
      <c r="I11" s="61">
        <f>Helicoil!J11/1000</f>
        <v>2.5999999999999999E-3</v>
      </c>
      <c r="J11" s="61">
        <f>Helicoil!K11/1000</f>
        <v>7.3000000000000001E-3</v>
      </c>
      <c r="K11" s="61">
        <f>Helicoil!L11/1000</f>
        <v>3.0800000000000003E-3</v>
      </c>
      <c r="L11" s="31">
        <f>(Tabla1[[#This Row],[d1_min]]+Tabla1[[#This Row],[d1_max]])/2</f>
        <v>3.4000000000000002E-3</v>
      </c>
      <c r="M11" s="106">
        <f>(Tabla1[[#This Row],[D1Hc_min]]+Tabla1[[#This Row],[D1Hc_max]]/1000)/2</f>
        <v>2.65E-3</v>
      </c>
      <c r="N11" s="31">
        <f>Tabla1[[#This Row],[W]]*1000</f>
        <v>12.9</v>
      </c>
    </row>
    <row r="12" spans="1:14" x14ac:dyDescent="0.3">
      <c r="A12" s="31">
        <v>3</v>
      </c>
      <c r="B12" s="61" t="s">
        <v>301</v>
      </c>
      <c r="C12" s="31">
        <f t="shared" si="0"/>
        <v>3.0000000000000001E-3</v>
      </c>
      <c r="D12" s="61">
        <f>Helicoil!E12/1000</f>
        <v>3.8999999999999998E-3</v>
      </c>
      <c r="E12" s="61">
        <f>Helicoil!F12/1000</f>
        <v>3.8E-3</v>
      </c>
      <c r="F12" s="61">
        <f>Helicoil!G12/1000</f>
        <v>4.0000000000000001E-3</v>
      </c>
      <c r="G12" s="61">
        <f>Helicoil!H12/1000</f>
        <v>3.1099999999999999E-3</v>
      </c>
      <c r="H12" s="68">
        <f>Helicoil!I12</f>
        <v>3.22</v>
      </c>
      <c r="I12" s="61">
        <f>Helicoil!J12/1000</f>
        <v>3.2000000000000002E-3</v>
      </c>
      <c r="J12" s="61">
        <f>Helicoil!K12/1000</f>
        <v>2.7000000000000001E-3</v>
      </c>
      <c r="K12" s="61">
        <f>Helicoil!L12/1000</f>
        <v>3.65E-3</v>
      </c>
      <c r="L12" s="31">
        <f>(Tabla1[[#This Row],[d1_min]]+Tabla1[[#This Row],[d1_max]])/2</f>
        <v>3.8999999999999998E-3</v>
      </c>
      <c r="M12" s="106">
        <f>(Tabla1[[#This Row],[D1Hc_min]]+Tabla1[[#This Row],[D1Hc_max]]/1000)/2</f>
        <v>3.1650000000000003E-3</v>
      </c>
      <c r="N12" s="31">
        <f>Tabla1[[#This Row],[W]]*1000</f>
        <v>3.9</v>
      </c>
    </row>
    <row r="13" spans="1:14" x14ac:dyDescent="0.3">
      <c r="A13" s="31">
        <v>3</v>
      </c>
      <c r="B13" s="61" t="s">
        <v>302</v>
      </c>
      <c r="C13" s="61">
        <f>A13*1.5 /1000</f>
        <v>4.4999999999999997E-3</v>
      </c>
      <c r="D13" s="61">
        <f>Helicoil!E13/1000</f>
        <v>6.3E-3</v>
      </c>
      <c r="E13" s="61">
        <f>Helicoil!F13/1000</f>
        <v>3.8E-3</v>
      </c>
      <c r="F13" s="61">
        <f>Helicoil!G13/1000</f>
        <v>4.0000000000000001E-3</v>
      </c>
      <c r="G13" s="61">
        <f>Helicoil!H13/1000</f>
        <v>3.1099999999999999E-3</v>
      </c>
      <c r="H13" s="68">
        <f>Helicoil!I13</f>
        <v>3.22</v>
      </c>
      <c r="I13" s="61">
        <f>Helicoil!J13/1000</f>
        <v>3.2000000000000002E-3</v>
      </c>
      <c r="J13" s="61">
        <f>Helicoil!K13/1000</f>
        <v>4.2000000000000006E-3</v>
      </c>
      <c r="K13" s="61">
        <f>Helicoil!L13/1000</f>
        <v>3.65E-3</v>
      </c>
      <c r="L13" s="31">
        <f>(Tabla1[[#This Row],[d1_min]]+Tabla1[[#This Row],[d1_max]])/2</f>
        <v>3.8999999999999998E-3</v>
      </c>
      <c r="M13" s="106">
        <f>(Tabla1[[#This Row],[D1Hc_min]]+Tabla1[[#This Row],[D1Hc_max]]/1000)/2</f>
        <v>3.1650000000000003E-3</v>
      </c>
      <c r="N13" s="31">
        <f>Tabla1[[#This Row],[W]]*1000</f>
        <v>6.3</v>
      </c>
    </row>
    <row r="14" spans="1:14" x14ac:dyDescent="0.3">
      <c r="A14" s="31">
        <v>3</v>
      </c>
      <c r="B14" s="61" t="s">
        <v>303</v>
      </c>
      <c r="C14" s="61">
        <f>A14*2 /1000</f>
        <v>6.0000000000000001E-3</v>
      </c>
      <c r="D14" s="61">
        <f>Helicoil!E14/1000</f>
        <v>8.6999999999999994E-3</v>
      </c>
      <c r="E14" s="61">
        <f>Helicoil!F14/1000</f>
        <v>3.8E-3</v>
      </c>
      <c r="F14" s="61">
        <f>Helicoil!G14/1000</f>
        <v>4.0000000000000001E-3</v>
      </c>
      <c r="G14" s="61">
        <f>Helicoil!H14/1000</f>
        <v>3.1099999999999999E-3</v>
      </c>
      <c r="H14" s="68">
        <f>Helicoil!I14</f>
        <v>3.22</v>
      </c>
      <c r="I14" s="61">
        <f>Helicoil!J14/1000</f>
        <v>3.2000000000000002E-3</v>
      </c>
      <c r="J14" s="61">
        <f>Helicoil!K14/1000</f>
        <v>5.7000000000000002E-3</v>
      </c>
      <c r="K14" s="61">
        <f>Helicoil!L14/1000</f>
        <v>3.65E-3</v>
      </c>
      <c r="L14" s="31">
        <f>(Tabla1[[#This Row],[d1_min]]+Tabla1[[#This Row],[d1_max]])/2</f>
        <v>3.8999999999999998E-3</v>
      </c>
      <c r="M14" s="106">
        <f>(Tabla1[[#This Row],[D1Hc_min]]+Tabla1[[#This Row],[D1Hc_max]]/1000)/2</f>
        <v>3.1650000000000003E-3</v>
      </c>
      <c r="N14" s="31">
        <f>Tabla1[[#This Row],[W]]*1000</f>
        <v>8.6999999999999993</v>
      </c>
    </row>
    <row r="15" spans="1:14" x14ac:dyDescent="0.3">
      <c r="A15" s="31">
        <v>3</v>
      </c>
      <c r="B15" s="61" t="s">
        <v>304</v>
      </c>
      <c r="C15" s="61">
        <f>A15*2.5 /1000</f>
        <v>7.4999999999999997E-3</v>
      </c>
      <c r="D15" s="61">
        <f>Helicoil!E15/1000</f>
        <v>1.11E-2</v>
      </c>
      <c r="E15" s="61">
        <f>Helicoil!F15/1000</f>
        <v>3.8E-3</v>
      </c>
      <c r="F15" s="61">
        <f>Helicoil!G15/1000</f>
        <v>4.0000000000000001E-3</v>
      </c>
      <c r="G15" s="61">
        <f>Helicoil!H15/1000</f>
        <v>3.1099999999999999E-3</v>
      </c>
      <c r="H15" s="68">
        <f>Helicoil!I15</f>
        <v>3.22</v>
      </c>
      <c r="I15" s="61">
        <f>Helicoil!J15/1000</f>
        <v>3.2000000000000002E-3</v>
      </c>
      <c r="J15" s="61">
        <f>Helicoil!K15/1000</f>
        <v>7.1999999999999998E-3</v>
      </c>
      <c r="K15" s="61">
        <f>Helicoil!L15/1000</f>
        <v>3.65E-3</v>
      </c>
      <c r="L15" s="31">
        <f>(Tabla1[[#This Row],[d1_min]]+Tabla1[[#This Row],[d1_max]])/2</f>
        <v>3.8999999999999998E-3</v>
      </c>
      <c r="M15" s="106">
        <f>(Tabla1[[#This Row],[D1Hc_min]]+Tabla1[[#This Row],[D1Hc_max]]/1000)/2</f>
        <v>3.1650000000000003E-3</v>
      </c>
      <c r="N15" s="31">
        <f>Tabla1[[#This Row],[W]]*1000</f>
        <v>11.1</v>
      </c>
    </row>
    <row r="16" spans="1:14" ht="15" thickBot="1" x14ac:dyDescent="0.35">
      <c r="A16" s="62">
        <v>3</v>
      </c>
      <c r="B16" s="61" t="s">
        <v>305</v>
      </c>
      <c r="C16" s="61">
        <f>A16*3 /1000</f>
        <v>8.9999999999999993E-3</v>
      </c>
      <c r="D16" s="61">
        <f>Helicoil!E16/1000</f>
        <v>1.35E-2</v>
      </c>
      <c r="E16" s="61">
        <f>Helicoil!F16/1000</f>
        <v>3.8E-3</v>
      </c>
      <c r="F16" s="61">
        <f>Helicoil!G16/1000</f>
        <v>4.0000000000000001E-3</v>
      </c>
      <c r="G16" s="61">
        <f>Helicoil!H16/1000</f>
        <v>3.1099999999999999E-3</v>
      </c>
      <c r="H16" s="68">
        <f>Helicoil!I16</f>
        <v>3.22</v>
      </c>
      <c r="I16" s="61">
        <f>Helicoil!J16/1000</f>
        <v>3.2000000000000002E-3</v>
      </c>
      <c r="J16" s="61">
        <f>Helicoil!K16/1000</f>
        <v>8.6999999999999994E-3</v>
      </c>
      <c r="K16" s="61">
        <f>Helicoil!L16/1000</f>
        <v>3.65E-3</v>
      </c>
      <c r="L16" s="31">
        <f>(Tabla1[[#This Row],[d1_min]]+Tabla1[[#This Row],[d1_max]])/2</f>
        <v>3.8999999999999998E-3</v>
      </c>
      <c r="M16" s="106">
        <f>(Tabla1[[#This Row],[D1Hc_min]]+Tabla1[[#This Row],[D1Hc_max]]/1000)/2</f>
        <v>3.1650000000000003E-3</v>
      </c>
      <c r="N16" s="31">
        <f>Tabla1[[#This Row],[W]]*1000</f>
        <v>13.5</v>
      </c>
    </row>
    <row r="17" spans="1:22" x14ac:dyDescent="0.3">
      <c r="A17" s="31">
        <v>3.5</v>
      </c>
      <c r="B17" s="61" t="s">
        <v>301</v>
      </c>
      <c r="C17" s="31">
        <f t="shared" si="0"/>
        <v>3.5000000000000001E-3</v>
      </c>
      <c r="D17" s="61">
        <f>Helicoil!E17/1000</f>
        <v>3.7000000000000002E-3</v>
      </c>
      <c r="E17" s="61">
        <f>Helicoil!F17/1000</f>
        <v>4.4200000000000003E-3</v>
      </c>
      <c r="F17" s="61">
        <f>Helicoil!G17/1000</f>
        <v>4.5999999999999999E-3</v>
      </c>
      <c r="G17" s="61">
        <f>Helicoil!H17/1000</f>
        <v>3.63E-3</v>
      </c>
      <c r="H17" s="68">
        <f>Helicoil!I17</f>
        <v>3.76</v>
      </c>
      <c r="I17" s="61">
        <f>Helicoil!J17/1000</f>
        <v>3.7000000000000002E-3</v>
      </c>
      <c r="J17" s="61">
        <f>Helicoil!K17/1000</f>
        <v>3.2000000000000002E-3</v>
      </c>
      <c r="K17" s="61">
        <f>Helicoil!L17/1000</f>
        <v>4.28E-3</v>
      </c>
      <c r="L17" s="31">
        <f>(Tabla1[[#This Row],[d1_min]]+Tabla1[[#This Row],[d1_max]])/2</f>
        <v>4.5100000000000001E-3</v>
      </c>
      <c r="M17" s="106">
        <f>(Tabla1[[#This Row],[D1Hc_min]]+Tabla1[[#This Row],[D1Hc_max]]/1000)/2</f>
        <v>3.6949999999999999E-3</v>
      </c>
      <c r="N17" s="31">
        <f>Tabla1[[#This Row],[W]]*1000</f>
        <v>3.7</v>
      </c>
    </row>
    <row r="18" spans="1:22" x14ac:dyDescent="0.3">
      <c r="A18" s="31">
        <v>3.5</v>
      </c>
      <c r="B18" s="61" t="s">
        <v>302</v>
      </c>
      <c r="C18" s="61">
        <f>A18*1.5 /1000</f>
        <v>5.2500000000000003E-3</v>
      </c>
      <c r="D18" s="61">
        <f>Helicoil!E18/1000</f>
        <v>6.3E-3</v>
      </c>
      <c r="E18" s="61">
        <f>Helicoil!F18/1000</f>
        <v>4.4200000000000003E-3</v>
      </c>
      <c r="F18" s="61">
        <f>Helicoil!G18/1000</f>
        <v>4.5999999999999999E-3</v>
      </c>
      <c r="G18" s="61">
        <f>Helicoil!H18/1000</f>
        <v>3.63E-3</v>
      </c>
      <c r="H18" s="68">
        <f>Helicoil!I18</f>
        <v>3.76</v>
      </c>
      <c r="I18" s="61">
        <f>Helicoil!J18/1000</f>
        <v>3.7000000000000002E-3</v>
      </c>
      <c r="J18" s="61">
        <f>Helicoil!K18/1000</f>
        <v>5.0000000000000001E-3</v>
      </c>
      <c r="K18" s="61">
        <f>Helicoil!L18/1000</f>
        <v>4.28E-3</v>
      </c>
      <c r="L18" s="31">
        <f>(Tabla1[[#This Row],[d1_min]]+Tabla1[[#This Row],[d1_max]])/2</f>
        <v>4.5100000000000001E-3</v>
      </c>
      <c r="M18" s="106">
        <f>(Tabla1[[#This Row],[D1Hc_min]]+Tabla1[[#This Row],[D1Hc_max]]/1000)/2</f>
        <v>3.6949999999999999E-3</v>
      </c>
      <c r="N18" s="31">
        <f>Tabla1[[#This Row],[W]]*1000</f>
        <v>6.3</v>
      </c>
    </row>
    <row r="19" spans="1:22" x14ac:dyDescent="0.3">
      <c r="A19" s="31">
        <v>3.5</v>
      </c>
      <c r="B19" s="61" t="s">
        <v>303</v>
      </c>
      <c r="C19" s="61">
        <f>A19*2 /1000</f>
        <v>7.0000000000000001E-3</v>
      </c>
      <c r="D19" s="61">
        <f>Helicoil!E19/1000</f>
        <v>8.6999999999999994E-3</v>
      </c>
      <c r="E19" s="61">
        <f>Helicoil!F19/1000</f>
        <v>4.4200000000000003E-3</v>
      </c>
      <c r="F19" s="61">
        <f>Helicoil!G19/1000</f>
        <v>4.5999999999999999E-3</v>
      </c>
      <c r="G19" s="61">
        <f>Helicoil!H19/1000</f>
        <v>3.63E-3</v>
      </c>
      <c r="H19" s="68">
        <f>Helicoil!I19</f>
        <v>3.76</v>
      </c>
      <c r="I19" s="61">
        <f>Helicoil!J19/1000</f>
        <v>3.7000000000000002E-3</v>
      </c>
      <c r="J19" s="61">
        <f>Helicoil!K19/1000</f>
        <v>6.7000000000000002E-3</v>
      </c>
      <c r="K19" s="61">
        <f>Helicoil!L19/1000</f>
        <v>4.28E-3</v>
      </c>
      <c r="L19" s="31">
        <f>(Tabla1[[#This Row],[d1_min]]+Tabla1[[#This Row],[d1_max]])/2</f>
        <v>4.5100000000000001E-3</v>
      </c>
      <c r="M19" s="106">
        <f>(Tabla1[[#This Row],[D1Hc_min]]+Tabla1[[#This Row],[D1Hc_max]]/1000)/2</f>
        <v>3.6949999999999999E-3</v>
      </c>
      <c r="N19" s="31">
        <f>Tabla1[[#This Row],[W]]*1000</f>
        <v>8.6999999999999993</v>
      </c>
    </row>
    <row r="20" spans="1:22" x14ac:dyDescent="0.3">
      <c r="A20" s="31">
        <v>3.5</v>
      </c>
      <c r="B20" s="61" t="s">
        <v>304</v>
      </c>
      <c r="C20" s="61">
        <f>A20*2.5 /1000</f>
        <v>8.7500000000000008E-3</v>
      </c>
      <c r="D20" s="61">
        <f>Helicoil!E20/1000</f>
        <v>1.12E-2</v>
      </c>
      <c r="E20" s="61">
        <f>Helicoil!F20/1000</f>
        <v>4.4200000000000003E-3</v>
      </c>
      <c r="F20" s="61">
        <f>Helicoil!G20/1000</f>
        <v>4.5999999999999999E-3</v>
      </c>
      <c r="G20" s="61">
        <f>Helicoil!H20/1000</f>
        <v>3.63E-3</v>
      </c>
      <c r="H20" s="68">
        <f>Helicoil!I20</f>
        <v>3.76</v>
      </c>
      <c r="I20" s="61">
        <f>Helicoil!J20/1000</f>
        <v>3.7000000000000002E-3</v>
      </c>
      <c r="J20" s="61">
        <f>Helicoil!K20/1000</f>
        <v>8.5000000000000006E-3</v>
      </c>
      <c r="K20" s="61">
        <f>Helicoil!L20/1000</f>
        <v>4.28E-3</v>
      </c>
      <c r="L20" s="31">
        <f>(Tabla1[[#This Row],[d1_min]]+Tabla1[[#This Row],[d1_max]])/2</f>
        <v>4.5100000000000001E-3</v>
      </c>
      <c r="M20" s="106">
        <f>(Tabla1[[#This Row],[D1Hc_min]]+Tabla1[[#This Row],[D1Hc_max]]/1000)/2</f>
        <v>3.6949999999999999E-3</v>
      </c>
      <c r="N20" s="31">
        <f>Tabla1[[#This Row],[W]]*1000</f>
        <v>11.2</v>
      </c>
    </row>
    <row r="21" spans="1:22" ht="15" thickBot="1" x14ac:dyDescent="0.35">
      <c r="A21" s="62">
        <v>3.5</v>
      </c>
      <c r="B21" s="61" t="s">
        <v>305</v>
      </c>
      <c r="C21" s="61">
        <f>A21*3 /1000</f>
        <v>1.0500000000000001E-2</v>
      </c>
      <c r="D21" s="61">
        <f>Helicoil!E21/1000</f>
        <v>1.3300000000000001E-2</v>
      </c>
      <c r="E21" s="61">
        <f>Helicoil!F21/1000</f>
        <v>4.4200000000000003E-3</v>
      </c>
      <c r="F21" s="61">
        <f>Helicoil!G21/1000</f>
        <v>4.5999999999999999E-3</v>
      </c>
      <c r="G21" s="61">
        <f>Helicoil!H21/1000</f>
        <v>3.63E-3</v>
      </c>
      <c r="H21" s="68">
        <f>Helicoil!I21</f>
        <v>3.76</v>
      </c>
      <c r="I21" s="61">
        <f>Helicoil!J21/1000</f>
        <v>3.7000000000000002E-3</v>
      </c>
      <c r="J21" s="61">
        <f>Helicoil!K21/1000</f>
        <v>1.0199999999999999E-2</v>
      </c>
      <c r="K21" s="61">
        <f>Helicoil!L21/1000</f>
        <v>4.28E-3</v>
      </c>
      <c r="L21" s="31">
        <f>(Tabla1[[#This Row],[d1_min]]+Tabla1[[#This Row],[d1_max]])/2</f>
        <v>4.5100000000000001E-3</v>
      </c>
      <c r="M21" s="106">
        <f>(Tabla1[[#This Row],[D1Hc_min]]+Tabla1[[#This Row],[D1Hc_max]]/1000)/2</f>
        <v>3.6949999999999999E-3</v>
      </c>
      <c r="N21" s="31">
        <f>Tabla1[[#This Row],[W]]*1000</f>
        <v>13.3</v>
      </c>
    </row>
    <row r="22" spans="1:22" x14ac:dyDescent="0.3">
      <c r="A22" s="31">
        <v>4</v>
      </c>
      <c r="B22" s="61" t="s">
        <v>301</v>
      </c>
      <c r="C22" s="31">
        <f t="shared" si="0"/>
        <v>4.0000000000000001E-3</v>
      </c>
      <c r="D22" s="61">
        <f>Helicoil!E22/1000</f>
        <v>3.7000000000000002E-3</v>
      </c>
      <c r="E22" s="61">
        <f>Helicoil!F22/1000</f>
        <v>5.0499999999999998E-3</v>
      </c>
      <c r="F22" s="61">
        <f>Helicoil!G22/1000</f>
        <v>5.2500000000000003E-3</v>
      </c>
      <c r="G22" s="61">
        <f>Helicoil!H22/1000</f>
        <v>4.15E-3</v>
      </c>
      <c r="H22" s="68">
        <f>Helicoil!I22</f>
        <v>4.29</v>
      </c>
      <c r="I22" s="61">
        <f>Helicoil!J22/1000</f>
        <v>4.2000000000000006E-3</v>
      </c>
      <c r="J22" s="61">
        <f>Helicoil!K22/1000</f>
        <v>3.5999999999999999E-3</v>
      </c>
      <c r="K22" s="61">
        <f>Helicoil!L22/1000</f>
        <v>4.9100000000000003E-3</v>
      </c>
      <c r="L22" s="31">
        <f>(Tabla1[[#This Row],[d1_min]]+Tabla1[[#This Row],[d1_max]])/2</f>
        <v>5.1500000000000001E-3</v>
      </c>
      <c r="M22" s="106">
        <f>(Tabla1[[#This Row],[D1Hc_min]]+Tabla1[[#This Row],[D1Hc_max]]/1000)/2</f>
        <v>4.2199999999999998E-3</v>
      </c>
      <c r="N22" s="31">
        <f>Tabla1[[#This Row],[W]]*1000</f>
        <v>3.7</v>
      </c>
    </row>
    <row r="23" spans="1:22" x14ac:dyDescent="0.3">
      <c r="A23" s="31">
        <v>4</v>
      </c>
      <c r="B23" s="61" t="s">
        <v>302</v>
      </c>
      <c r="C23" s="61">
        <f>A23*1.5 /1000</f>
        <v>6.0000000000000001E-3</v>
      </c>
      <c r="D23" s="61">
        <f>Helicoil!E23/1000</f>
        <v>6.0999999999999995E-3</v>
      </c>
      <c r="E23" s="61">
        <f>Helicoil!F23/1000</f>
        <v>5.0499999999999998E-3</v>
      </c>
      <c r="F23" s="61">
        <f>Helicoil!G23/1000</f>
        <v>5.2500000000000003E-3</v>
      </c>
      <c r="G23" s="61">
        <f>Helicoil!H23/1000</f>
        <v>4.15E-3</v>
      </c>
      <c r="H23" s="68">
        <f>Helicoil!I23</f>
        <v>4.29</v>
      </c>
      <c r="I23" s="61">
        <f>Helicoil!J23/1000</f>
        <v>4.2000000000000006E-3</v>
      </c>
      <c r="J23" s="61">
        <f>Helicoil!K23/1000</f>
        <v>5.5999999999999999E-3</v>
      </c>
      <c r="K23" s="61">
        <f>Helicoil!L23/1000</f>
        <v>4.9100000000000003E-3</v>
      </c>
      <c r="L23" s="31">
        <f>(Tabla1[[#This Row],[d1_min]]+Tabla1[[#This Row],[d1_max]])/2</f>
        <v>5.1500000000000001E-3</v>
      </c>
      <c r="M23" s="106">
        <f>(Tabla1[[#This Row],[D1Hc_min]]+Tabla1[[#This Row],[D1Hc_max]]/1000)/2</f>
        <v>4.2199999999999998E-3</v>
      </c>
      <c r="N23" s="31">
        <f>Tabla1[[#This Row],[W]]*1000</f>
        <v>6.1</v>
      </c>
    </row>
    <row r="24" spans="1:22" x14ac:dyDescent="0.3">
      <c r="A24" s="31">
        <v>4</v>
      </c>
      <c r="B24" s="61" t="s">
        <v>303</v>
      </c>
      <c r="C24" s="61">
        <f>A24*2 /1000</f>
        <v>8.0000000000000002E-3</v>
      </c>
      <c r="D24" s="61">
        <f>Helicoil!E24/1000</f>
        <v>8.4000000000000012E-3</v>
      </c>
      <c r="E24" s="61">
        <f>Helicoil!F24/1000</f>
        <v>5.0499999999999998E-3</v>
      </c>
      <c r="F24" s="61">
        <f>Helicoil!G24/1000</f>
        <v>5.2500000000000003E-3</v>
      </c>
      <c r="G24" s="61">
        <f>Helicoil!H24/1000</f>
        <v>4.15E-3</v>
      </c>
      <c r="H24" s="68">
        <f>Helicoil!I24</f>
        <v>4.29</v>
      </c>
      <c r="I24" s="61">
        <f>Helicoil!J24/1000</f>
        <v>4.2000000000000006E-3</v>
      </c>
      <c r="J24" s="61">
        <f>Helicoil!K24/1000</f>
        <v>7.6E-3</v>
      </c>
      <c r="K24" s="61">
        <f>Helicoil!L24/1000</f>
        <v>4.9100000000000003E-3</v>
      </c>
      <c r="L24" s="31">
        <f>(Tabla1[[#This Row],[d1_min]]+Tabla1[[#This Row],[d1_max]])/2</f>
        <v>5.1500000000000001E-3</v>
      </c>
      <c r="M24" s="106">
        <f>(Tabla1[[#This Row],[D1Hc_min]]+Tabla1[[#This Row],[D1Hc_max]]/1000)/2</f>
        <v>4.2199999999999998E-3</v>
      </c>
      <c r="N24" s="31">
        <f>Tabla1[[#This Row],[W]]*1000</f>
        <v>8.4</v>
      </c>
    </row>
    <row r="25" spans="1:22" x14ac:dyDescent="0.3">
      <c r="A25" s="31">
        <v>4</v>
      </c>
      <c r="B25" s="61" t="s">
        <v>304</v>
      </c>
      <c r="C25" s="61">
        <f>A25*2.5 /1000</f>
        <v>0.01</v>
      </c>
      <c r="D25" s="61">
        <f>Helicoil!E25/1000</f>
        <v>1.09E-2</v>
      </c>
      <c r="E25" s="61">
        <f>Helicoil!F25/1000</f>
        <v>5.0499999999999998E-3</v>
      </c>
      <c r="F25" s="61">
        <f>Helicoil!G25/1000</f>
        <v>5.2500000000000003E-3</v>
      </c>
      <c r="G25" s="61">
        <f>Helicoil!H25/1000</f>
        <v>4.15E-3</v>
      </c>
      <c r="H25" s="68">
        <f>Helicoil!I25</f>
        <v>4.29</v>
      </c>
      <c r="I25" s="61">
        <f>Helicoil!J25/1000</f>
        <v>4.2000000000000006E-3</v>
      </c>
      <c r="J25" s="61">
        <f>Helicoil!K25/1000</f>
        <v>9.5999999999999992E-3</v>
      </c>
      <c r="K25" s="61">
        <f>Helicoil!L25/1000</f>
        <v>4.9100000000000003E-3</v>
      </c>
      <c r="L25" s="31">
        <f>(Tabla1[[#This Row],[d1_min]]+Tabla1[[#This Row],[d1_max]])/2</f>
        <v>5.1500000000000001E-3</v>
      </c>
      <c r="M25" s="106">
        <f>(Tabla1[[#This Row],[D1Hc_min]]+Tabla1[[#This Row],[D1Hc_max]]/1000)/2</f>
        <v>4.2199999999999998E-3</v>
      </c>
      <c r="N25" s="31">
        <f>Tabla1[[#This Row],[W]]*1000</f>
        <v>10.9</v>
      </c>
    </row>
    <row r="26" spans="1:22" ht="15" thickBot="1" x14ac:dyDescent="0.35">
      <c r="A26" s="62">
        <v>4</v>
      </c>
      <c r="B26" s="61" t="s">
        <v>305</v>
      </c>
      <c r="C26" s="61">
        <f>A26*3 /1000</f>
        <v>1.2E-2</v>
      </c>
      <c r="D26" s="61">
        <f>Helicoil!E26/1000</f>
        <v>1.32E-2</v>
      </c>
      <c r="E26" s="61">
        <f>Helicoil!F26/1000</f>
        <v>5.0499999999999998E-3</v>
      </c>
      <c r="F26" s="61">
        <f>Helicoil!G26/1000</f>
        <v>5.2500000000000003E-3</v>
      </c>
      <c r="G26" s="61">
        <f>Helicoil!H26/1000</f>
        <v>4.15E-3</v>
      </c>
      <c r="H26" s="68">
        <f>Helicoil!I26</f>
        <v>4.29</v>
      </c>
      <c r="I26" s="61">
        <f>Helicoil!J26/1000</f>
        <v>4.2000000000000006E-3</v>
      </c>
      <c r="J26" s="61">
        <f>Helicoil!K26/1000</f>
        <v>1.1599999999999999E-2</v>
      </c>
      <c r="K26" s="61">
        <f>Helicoil!L26/1000</f>
        <v>4.9100000000000003E-3</v>
      </c>
      <c r="L26" s="31">
        <f>(Tabla1[[#This Row],[d1_min]]+Tabla1[[#This Row],[d1_max]])/2</f>
        <v>5.1500000000000001E-3</v>
      </c>
      <c r="M26" s="106">
        <f>(Tabla1[[#This Row],[D1Hc_min]]+Tabla1[[#This Row],[D1Hc_max]]/1000)/2</f>
        <v>4.2199999999999998E-3</v>
      </c>
      <c r="N26" s="31">
        <f>Tabla1[[#This Row],[W]]*1000</f>
        <v>13.2</v>
      </c>
    </row>
    <row r="27" spans="1:22" x14ac:dyDescent="0.3">
      <c r="A27" s="31">
        <v>5</v>
      </c>
      <c r="B27" s="61" t="s">
        <v>301</v>
      </c>
      <c r="C27" s="31">
        <f t="shared" si="0"/>
        <v>5.0000000000000001E-3</v>
      </c>
      <c r="D27" s="61">
        <f>Helicoil!E27/1000</f>
        <v>4.3E-3</v>
      </c>
      <c r="E27" s="61">
        <f>Helicoil!F27/1000</f>
        <v>6.3499999999999997E-3</v>
      </c>
      <c r="F27" s="61">
        <f>Helicoil!G27/1000</f>
        <v>6.6E-3</v>
      </c>
      <c r="G27" s="61">
        <f>Helicoil!H27/1000</f>
        <v>5.1700000000000001E-3</v>
      </c>
      <c r="H27" s="68">
        <f>Helicoil!I27</f>
        <v>5.33</v>
      </c>
      <c r="I27" s="61">
        <f>Helicoil!J27/1000</f>
        <v>5.1999999999999998E-3</v>
      </c>
      <c r="J27" s="61">
        <f>Helicoil!K27/1000</f>
        <v>4.5999999999999999E-3</v>
      </c>
      <c r="K27" s="61">
        <f>Helicoil!L27/1000</f>
        <v>6.0400000000000002E-3</v>
      </c>
      <c r="L27" s="31">
        <f>(Tabla1[[#This Row],[d1_min]]+Tabla1[[#This Row],[d1_max]])/2</f>
        <v>6.4749999999999999E-3</v>
      </c>
      <c r="M27" s="106">
        <f>(Tabla1[[#This Row],[D1Hc_min]]+Tabla1[[#This Row],[D1Hc_max]]/1000)/2</f>
        <v>5.2499999999999995E-3</v>
      </c>
      <c r="N27" s="31">
        <f>Tabla1[[#This Row],[W]]*1000</f>
        <v>4.3</v>
      </c>
    </row>
    <row r="28" spans="1:22" x14ac:dyDescent="0.3">
      <c r="A28" s="31">
        <v>5</v>
      </c>
      <c r="B28" s="61" t="s">
        <v>302</v>
      </c>
      <c r="C28" s="61">
        <f>A28*1.5 /1000</f>
        <v>7.4999999999999997E-3</v>
      </c>
      <c r="D28" s="61">
        <f>Helicoil!E28/1000</f>
        <v>6.9000000000000008E-3</v>
      </c>
      <c r="E28" s="61">
        <f>Helicoil!F28/1000</f>
        <v>6.3499999999999997E-3</v>
      </c>
      <c r="F28" s="61">
        <f>Helicoil!G28/1000</f>
        <v>6.6E-3</v>
      </c>
      <c r="G28" s="61">
        <f>Helicoil!H28/1000</f>
        <v>5.1700000000000001E-3</v>
      </c>
      <c r="H28" s="68">
        <f>Helicoil!I28</f>
        <v>5.33</v>
      </c>
      <c r="I28" s="61">
        <f>Helicoil!J28/1000</f>
        <v>5.1999999999999998E-3</v>
      </c>
      <c r="J28" s="61">
        <f>Helicoil!K28/1000</f>
        <v>7.0999999999999995E-3</v>
      </c>
      <c r="K28" s="61">
        <f>Helicoil!L28/1000</f>
        <v>6.0400000000000002E-3</v>
      </c>
      <c r="L28" s="31">
        <f>(Tabla1[[#This Row],[d1_min]]+Tabla1[[#This Row],[d1_max]])/2</f>
        <v>6.4749999999999999E-3</v>
      </c>
      <c r="M28" s="106">
        <f>(Tabla1[[#This Row],[D1Hc_min]]+Tabla1[[#This Row],[D1Hc_max]]/1000)/2</f>
        <v>5.2499999999999995E-3</v>
      </c>
      <c r="N28" s="31">
        <f>Tabla1[[#This Row],[W]]*1000</f>
        <v>6.9</v>
      </c>
    </row>
    <row r="29" spans="1:22" x14ac:dyDescent="0.3">
      <c r="A29" s="31">
        <v>5</v>
      </c>
      <c r="B29" s="61" t="s">
        <v>303</v>
      </c>
      <c r="C29" s="61">
        <f>A29*2 /1000</f>
        <v>0.01</v>
      </c>
      <c r="D29" s="61">
        <f>Helicoil!E29/1000</f>
        <v>9.6999999999999986E-3</v>
      </c>
      <c r="E29" s="61">
        <f>Helicoil!F29/1000</f>
        <v>6.3499999999999997E-3</v>
      </c>
      <c r="F29" s="61">
        <f>Helicoil!G29/1000</f>
        <v>6.6E-3</v>
      </c>
      <c r="G29" s="61">
        <f>Helicoil!H29/1000</f>
        <v>5.1700000000000001E-3</v>
      </c>
      <c r="H29" s="68">
        <f>Helicoil!I29</f>
        <v>5.33</v>
      </c>
      <c r="I29" s="61">
        <f>Helicoil!J29/1000</f>
        <v>5.1999999999999998E-3</v>
      </c>
      <c r="J29" s="61">
        <f>Helicoil!K29/1000</f>
        <v>9.5999999999999992E-3</v>
      </c>
      <c r="K29" s="61">
        <f>Helicoil!L29/1000</f>
        <v>6.0400000000000002E-3</v>
      </c>
      <c r="L29" s="31">
        <f>(Tabla1[[#This Row],[d1_min]]+Tabla1[[#This Row],[d1_max]])/2</f>
        <v>6.4749999999999999E-3</v>
      </c>
      <c r="M29" s="106">
        <f>(Tabla1[[#This Row],[D1Hc_min]]+Tabla1[[#This Row],[D1Hc_max]]/1000)/2</f>
        <v>5.2499999999999995E-3</v>
      </c>
      <c r="N29" s="31">
        <f>Tabla1[[#This Row],[W]]*1000</f>
        <v>9.6999999999999993</v>
      </c>
    </row>
    <row r="30" spans="1:22" x14ac:dyDescent="0.3">
      <c r="A30" s="31">
        <v>5</v>
      </c>
      <c r="B30" s="61" t="s">
        <v>304</v>
      </c>
      <c r="C30" s="61">
        <f>A30*2.5 /1000</f>
        <v>1.2500000000000001E-2</v>
      </c>
      <c r="D30" s="61">
        <f>Helicoil!E30/1000</f>
        <v>1.23E-2</v>
      </c>
      <c r="E30" s="61">
        <f>Helicoil!F30/1000</f>
        <v>6.3499999999999997E-3</v>
      </c>
      <c r="F30" s="61">
        <f>Helicoil!G30/1000</f>
        <v>6.6E-3</v>
      </c>
      <c r="G30" s="61">
        <f>Helicoil!H30/1000</f>
        <v>5.1700000000000001E-3</v>
      </c>
      <c r="H30" s="68">
        <f>Helicoil!I30</f>
        <v>5.33</v>
      </c>
      <c r="I30" s="61">
        <f>Helicoil!J30/1000</f>
        <v>5.1999999999999998E-3</v>
      </c>
      <c r="J30" s="61">
        <f>Helicoil!K30/1000</f>
        <v>1.21E-2</v>
      </c>
      <c r="K30" s="61">
        <f>Helicoil!L30/1000</f>
        <v>6.0400000000000002E-3</v>
      </c>
      <c r="L30" s="31">
        <f>(Tabla1[[#This Row],[d1_min]]+Tabla1[[#This Row],[d1_max]])/2</f>
        <v>6.4749999999999999E-3</v>
      </c>
      <c r="M30" s="106">
        <f>(Tabla1[[#This Row],[D1Hc_min]]+Tabla1[[#This Row],[D1Hc_max]]/1000)/2</f>
        <v>5.2499999999999995E-3</v>
      </c>
      <c r="N30" s="31">
        <f>Tabla1[[#This Row],[W]]*1000</f>
        <v>12.3</v>
      </c>
    </row>
    <row r="31" spans="1:22" ht="15" thickBot="1" x14ac:dyDescent="0.35">
      <c r="A31" s="62">
        <v>5</v>
      </c>
      <c r="B31" s="61" t="s">
        <v>305</v>
      </c>
      <c r="C31" s="61">
        <f>A31*3 /1000</f>
        <v>1.4999999999999999E-2</v>
      </c>
      <c r="D31" s="61">
        <f>Helicoil!E31/1000</f>
        <v>1.4800000000000001E-2</v>
      </c>
      <c r="E31" s="61">
        <f>Helicoil!F31/1000</f>
        <v>6.3499999999999997E-3</v>
      </c>
      <c r="F31" s="61">
        <f>Helicoil!G31/1000</f>
        <v>6.6E-3</v>
      </c>
      <c r="G31" s="61">
        <f>Helicoil!H31/1000</f>
        <v>5.1700000000000001E-3</v>
      </c>
      <c r="H31" s="68">
        <f>Helicoil!I31</f>
        <v>5.33</v>
      </c>
      <c r="I31" s="61">
        <f>Helicoil!J31/1000</f>
        <v>5.1999999999999998E-3</v>
      </c>
      <c r="J31" s="61">
        <f>Helicoil!K31/1000</f>
        <v>1.46E-2</v>
      </c>
      <c r="K31" s="61">
        <f>Helicoil!L31/1000</f>
        <v>6.0400000000000002E-3</v>
      </c>
      <c r="L31" s="31">
        <f>(Tabla1[[#This Row],[d1_min]]+Tabla1[[#This Row],[d1_max]])/2</f>
        <v>6.4749999999999999E-3</v>
      </c>
      <c r="M31" s="106">
        <f>(Tabla1[[#This Row],[D1Hc_min]]+Tabla1[[#This Row],[D1Hc_max]]/1000)/2</f>
        <v>5.2499999999999995E-3</v>
      </c>
      <c r="N31" s="31">
        <f>Tabla1[[#This Row],[W]]*1000</f>
        <v>14.8</v>
      </c>
    </row>
    <row r="32" spans="1:22" x14ac:dyDescent="0.3">
      <c r="A32" s="31">
        <v>6</v>
      </c>
      <c r="B32" s="61" t="s">
        <v>301</v>
      </c>
      <c r="C32" s="31">
        <f t="shared" si="0"/>
        <v>6.0000000000000001E-3</v>
      </c>
      <c r="D32" s="61">
        <f>Helicoil!E32/1000</f>
        <v>4.2000000000000006E-3</v>
      </c>
      <c r="E32" s="61">
        <f>Helicoil!F32/1000</f>
        <v>7.6E-3</v>
      </c>
      <c r="F32" s="61">
        <f>Helicoil!G32/1000</f>
        <v>7.8499999999999993E-3</v>
      </c>
      <c r="G32" s="61">
        <f>Helicoil!H32/1000</f>
        <v>6.2199999999999998E-3</v>
      </c>
      <c r="H32" s="68">
        <f>Helicoil!I32</f>
        <v>6.41</v>
      </c>
      <c r="I32" s="61">
        <f>Helicoil!J32/1000</f>
        <v>6.3E-3</v>
      </c>
      <c r="J32" s="61">
        <f>Helicoil!K32/1000</f>
        <v>5.4999999999999997E-3</v>
      </c>
      <c r="K32" s="61">
        <f>Helicoil!L32/1000</f>
        <v>7.3000000000000001E-3</v>
      </c>
      <c r="L32" s="31">
        <f>(Tabla1[[#This Row],[d1_min]]+Tabla1[[#This Row],[d1_max]])/2</f>
        <v>7.7249999999999992E-3</v>
      </c>
      <c r="M32" s="106">
        <f>(Tabla1[[#This Row],[D1Hc_min]]+Tabla1[[#This Row],[D1Hc_max]]/1000)/2</f>
        <v>6.3149999999999994E-3</v>
      </c>
      <c r="N32" s="31">
        <f>Tabla1[[#This Row],[W]]*1000</f>
        <v>4.2</v>
      </c>
      <c r="V32">
        <v>4.2</v>
      </c>
    </row>
    <row r="33" spans="1:22" x14ac:dyDescent="0.3">
      <c r="A33" s="31">
        <v>6</v>
      </c>
      <c r="B33" s="61" t="s">
        <v>302</v>
      </c>
      <c r="C33" s="61">
        <f>A33*1.5 /1000</f>
        <v>8.9999999999999993E-3</v>
      </c>
      <c r="D33" s="61">
        <f>Helicoil!E33/1000</f>
        <v>6.9000000000000008E-3</v>
      </c>
      <c r="E33" s="61">
        <f>Helicoil!F33/1000</f>
        <v>7.6E-3</v>
      </c>
      <c r="F33" s="61">
        <f>Helicoil!G33/1000</f>
        <v>7.8499999999999993E-3</v>
      </c>
      <c r="G33" s="61">
        <f>Helicoil!H33/1000</f>
        <v>6.2199999999999998E-3</v>
      </c>
      <c r="H33" s="68">
        <f>Helicoil!I33</f>
        <v>6.41</v>
      </c>
      <c r="I33" s="61">
        <f>Helicoil!J33/1000</f>
        <v>6.3E-3</v>
      </c>
      <c r="J33" s="61">
        <f>Helicoil!K33/1000</f>
        <v>8.5000000000000006E-3</v>
      </c>
      <c r="K33" s="61">
        <f>Helicoil!L33/1000</f>
        <v>7.3000000000000001E-3</v>
      </c>
      <c r="L33" s="31">
        <f>(Tabla1[[#This Row],[d1_min]]+Tabla1[[#This Row],[d1_max]])/2</f>
        <v>7.7249999999999992E-3</v>
      </c>
      <c r="M33" s="106">
        <f>(Tabla1[[#This Row],[D1Hc_min]]+Tabla1[[#This Row],[D1Hc_max]]/1000)/2</f>
        <v>6.3149999999999994E-3</v>
      </c>
      <c r="N33" s="31">
        <f>Tabla1[[#This Row],[W]]*1000</f>
        <v>6.9</v>
      </c>
      <c r="V33">
        <v>6.9</v>
      </c>
    </row>
    <row r="34" spans="1:22" x14ac:dyDescent="0.3">
      <c r="A34" s="31">
        <v>6</v>
      </c>
      <c r="B34" s="61" t="s">
        <v>303</v>
      </c>
      <c r="C34" s="61">
        <f>A34*2 /1000</f>
        <v>1.2E-2</v>
      </c>
      <c r="D34" s="61">
        <f>Helicoil!E34/1000</f>
        <v>9.5999999999999992E-3</v>
      </c>
      <c r="E34" s="61">
        <f>Helicoil!F34/1000</f>
        <v>7.6E-3</v>
      </c>
      <c r="F34" s="61">
        <f>Helicoil!G34/1000</f>
        <v>7.8499999999999993E-3</v>
      </c>
      <c r="G34" s="61">
        <f>Helicoil!H34/1000</f>
        <v>6.2199999999999998E-3</v>
      </c>
      <c r="H34" s="68">
        <f>Helicoil!I34</f>
        <v>6.41</v>
      </c>
      <c r="I34" s="61">
        <f>Helicoil!J34/1000</f>
        <v>6.3E-3</v>
      </c>
      <c r="J34" s="61">
        <f>Helicoil!K34/1000</f>
        <v>1.15E-2</v>
      </c>
      <c r="K34" s="61">
        <f>Helicoil!L34/1000</f>
        <v>7.3000000000000001E-3</v>
      </c>
      <c r="L34" s="31">
        <f>(Tabla1[[#This Row],[d1_min]]+Tabla1[[#This Row],[d1_max]])/2</f>
        <v>7.7249999999999992E-3</v>
      </c>
      <c r="M34" s="106">
        <f>(Tabla1[[#This Row],[D1Hc_min]]+Tabla1[[#This Row],[D1Hc_max]]/1000)/2</f>
        <v>6.3149999999999994E-3</v>
      </c>
      <c r="N34" s="31">
        <f>Tabla1[[#This Row],[W]]*1000</f>
        <v>9.6</v>
      </c>
      <c r="V34">
        <v>9.6</v>
      </c>
    </row>
    <row r="35" spans="1:22" x14ac:dyDescent="0.3">
      <c r="A35" s="31">
        <v>6</v>
      </c>
      <c r="B35" s="61" t="s">
        <v>304</v>
      </c>
      <c r="C35" s="61">
        <f>A35*2.5 /1000</f>
        <v>1.4999999999999999E-2</v>
      </c>
      <c r="D35" s="61">
        <f>Helicoil!E35/1000</f>
        <v>1.23E-2</v>
      </c>
      <c r="E35" s="61">
        <f>Helicoil!F35/1000</f>
        <v>7.6E-3</v>
      </c>
      <c r="F35" s="61">
        <f>Helicoil!G35/1000</f>
        <v>7.8499999999999993E-3</v>
      </c>
      <c r="G35" s="61">
        <f>Helicoil!H35/1000</f>
        <v>6.2199999999999998E-3</v>
      </c>
      <c r="H35" s="68">
        <f>Helicoil!I35</f>
        <v>6.41</v>
      </c>
      <c r="I35" s="61">
        <f>Helicoil!J35/1000</f>
        <v>6.3E-3</v>
      </c>
      <c r="J35" s="61">
        <f>Helicoil!K35/1000</f>
        <v>1.4500000000000001E-2</v>
      </c>
      <c r="K35" s="61">
        <f>Helicoil!L35/1000</f>
        <v>7.3000000000000001E-3</v>
      </c>
      <c r="L35" s="31">
        <f>(Tabla1[[#This Row],[d1_min]]+Tabla1[[#This Row],[d1_max]])/2</f>
        <v>7.7249999999999992E-3</v>
      </c>
      <c r="M35" s="106">
        <f>(Tabla1[[#This Row],[D1Hc_min]]+Tabla1[[#This Row],[D1Hc_max]]/1000)/2</f>
        <v>6.3149999999999994E-3</v>
      </c>
      <c r="N35" s="31">
        <f>Tabla1[[#This Row],[W]]*1000</f>
        <v>12.3</v>
      </c>
      <c r="V35">
        <v>12.3</v>
      </c>
    </row>
    <row r="36" spans="1:22" ht="15" thickBot="1" x14ac:dyDescent="0.35">
      <c r="A36" s="62">
        <v>6</v>
      </c>
      <c r="B36" s="61" t="s">
        <v>305</v>
      </c>
      <c r="C36" s="61">
        <f>A36*3 /1000</f>
        <v>1.7999999999999999E-2</v>
      </c>
      <c r="D36" s="61">
        <f>Helicoil!E36/1000</f>
        <v>1.46E-2</v>
      </c>
      <c r="E36" s="61">
        <f>Helicoil!F36/1000</f>
        <v>7.6E-3</v>
      </c>
      <c r="F36" s="61">
        <f>Helicoil!G36/1000</f>
        <v>7.8499999999999993E-3</v>
      </c>
      <c r="G36" s="61">
        <f>Helicoil!H36/1000</f>
        <v>6.2199999999999998E-3</v>
      </c>
      <c r="H36" s="68">
        <f>Helicoil!I36</f>
        <v>6.41</v>
      </c>
      <c r="I36" s="61">
        <f>Helicoil!J36/1000</f>
        <v>6.3E-3</v>
      </c>
      <c r="J36" s="61">
        <f>Helicoil!K36/1000</f>
        <v>1.7500000000000002E-2</v>
      </c>
      <c r="K36" s="61">
        <f>Helicoil!L36/1000</f>
        <v>7.3000000000000001E-3</v>
      </c>
      <c r="L36" s="31">
        <f>(Tabla1[[#This Row],[d1_min]]+Tabla1[[#This Row],[d1_max]])/2</f>
        <v>7.7249999999999992E-3</v>
      </c>
      <c r="M36" s="106">
        <f>(Tabla1[[#This Row],[D1Hc_min]]+Tabla1[[#This Row],[D1Hc_max]]/1000)/2</f>
        <v>6.3149999999999994E-3</v>
      </c>
      <c r="N36" s="31">
        <f>Tabla1[[#This Row],[W]]*1000</f>
        <v>14.6</v>
      </c>
      <c r="V36">
        <v>14.6</v>
      </c>
    </row>
    <row r="37" spans="1:22" x14ac:dyDescent="0.3">
      <c r="A37" s="31">
        <v>7</v>
      </c>
      <c r="B37" s="61" t="s">
        <v>301</v>
      </c>
      <c r="C37" s="31">
        <f t="shared" si="0"/>
        <v>7.0000000000000001E-3</v>
      </c>
      <c r="D37" s="61">
        <f>Helicoil!E37/1000</f>
        <v>5.3E-3</v>
      </c>
      <c r="E37" s="61">
        <f>Helicoil!F37/1000</f>
        <v>8.6499999999999997E-3</v>
      </c>
      <c r="F37" s="61">
        <f>Helicoil!G37/1000</f>
        <v>8.8999999999999999E-3</v>
      </c>
      <c r="G37" s="61">
        <f>Helicoil!H37/1000</f>
        <v>7.2199999999999999E-3</v>
      </c>
      <c r="H37" s="68">
        <f>Helicoil!I37</f>
        <v>7.41</v>
      </c>
      <c r="I37" s="61">
        <f>Helicoil!J37/1000</f>
        <v>7.3000000000000001E-3</v>
      </c>
      <c r="J37" s="61">
        <f>Helicoil!K37/1000</f>
        <v>6.4999999999999997E-3</v>
      </c>
      <c r="K37" s="61">
        <f>Helicoil!L37/1000</f>
        <v>8.3000000000000001E-3</v>
      </c>
      <c r="L37" s="31">
        <f>(Tabla1[[#This Row],[d1_min]]+Tabla1[[#This Row],[d1_max]])/2</f>
        <v>8.7749999999999998E-3</v>
      </c>
      <c r="M37" s="106">
        <f>(Tabla1[[#This Row],[D1Hc_min]]+Tabla1[[#This Row],[D1Hc_max]]/1000)/2</f>
        <v>7.3150000000000003E-3</v>
      </c>
      <c r="N37" s="31">
        <f>Tabla1[[#This Row],[W]]*1000</f>
        <v>5.3</v>
      </c>
      <c r="V37">
        <v>5.3</v>
      </c>
    </row>
    <row r="38" spans="1:22" x14ac:dyDescent="0.3">
      <c r="A38" s="31">
        <v>7</v>
      </c>
      <c r="B38" s="61" t="s">
        <v>302</v>
      </c>
      <c r="C38" s="61">
        <f>A38*1.5 /1000</f>
        <v>1.0500000000000001E-2</v>
      </c>
      <c r="D38" s="61">
        <f>Helicoil!E38/1000</f>
        <v>8.199999999999999E-3</v>
      </c>
      <c r="E38" s="61">
        <f>Helicoil!F38/1000</f>
        <v>8.6499999999999997E-3</v>
      </c>
      <c r="F38" s="61">
        <f>Helicoil!G38/1000</f>
        <v>8.8999999999999999E-3</v>
      </c>
      <c r="G38" s="61">
        <f>Helicoil!H38/1000</f>
        <v>7.2199999999999999E-3</v>
      </c>
      <c r="H38" s="68">
        <f>Helicoil!I38</f>
        <v>7.41</v>
      </c>
      <c r="I38" s="61">
        <f>Helicoil!J38/1000</f>
        <v>7.3000000000000001E-3</v>
      </c>
      <c r="J38" s="61">
        <f>Helicoil!K38/1000</f>
        <v>0.01</v>
      </c>
      <c r="K38" s="61">
        <f>Helicoil!L38/1000</f>
        <v>8.3000000000000001E-3</v>
      </c>
      <c r="L38" s="31">
        <f>(Tabla1[[#This Row],[d1_min]]+Tabla1[[#This Row],[d1_max]])/2</f>
        <v>8.7749999999999998E-3</v>
      </c>
      <c r="M38" s="106">
        <f>(Tabla1[[#This Row],[D1Hc_min]]+Tabla1[[#This Row],[D1Hc_max]]/1000)/2</f>
        <v>7.3150000000000003E-3</v>
      </c>
      <c r="N38" s="31">
        <f>Tabla1[[#This Row],[W]]*1000</f>
        <v>8.1999999999999993</v>
      </c>
      <c r="V38">
        <v>8.1999999999999993</v>
      </c>
    </row>
    <row r="39" spans="1:22" x14ac:dyDescent="0.3">
      <c r="A39" s="31">
        <v>7</v>
      </c>
      <c r="B39" s="61" t="s">
        <v>303</v>
      </c>
      <c r="C39" s="61">
        <f>A39*2 /1000</f>
        <v>1.4E-2</v>
      </c>
      <c r="D39" s="61">
        <f>Helicoil!E39/1000</f>
        <v>1.11E-2</v>
      </c>
      <c r="E39" s="61">
        <f>Helicoil!F39/1000</f>
        <v>8.6499999999999997E-3</v>
      </c>
      <c r="F39" s="61">
        <f>Helicoil!G39/1000</f>
        <v>8.8999999999999999E-3</v>
      </c>
      <c r="G39" s="61">
        <f>Helicoil!H39/1000</f>
        <v>7.2199999999999999E-3</v>
      </c>
      <c r="H39" s="68">
        <f>Helicoil!I39</f>
        <v>7.41</v>
      </c>
      <c r="I39" s="61">
        <f>Helicoil!J39/1000</f>
        <v>7.3000000000000001E-3</v>
      </c>
      <c r="J39" s="61">
        <f>Helicoil!K39/1000</f>
        <v>1.35E-2</v>
      </c>
      <c r="K39" s="61">
        <f>Helicoil!L39/1000</f>
        <v>8.3000000000000001E-3</v>
      </c>
      <c r="L39" s="31">
        <f>(Tabla1[[#This Row],[d1_min]]+Tabla1[[#This Row],[d1_max]])/2</f>
        <v>8.7749999999999998E-3</v>
      </c>
      <c r="M39" s="106">
        <f>(Tabla1[[#This Row],[D1Hc_min]]+Tabla1[[#This Row],[D1Hc_max]]/1000)/2</f>
        <v>7.3150000000000003E-3</v>
      </c>
      <c r="N39" s="31">
        <f>Tabla1[[#This Row],[W]]*1000</f>
        <v>11.1</v>
      </c>
      <c r="V39">
        <v>11.1</v>
      </c>
    </row>
    <row r="40" spans="1:22" x14ac:dyDescent="0.3">
      <c r="A40" s="31">
        <v>7</v>
      </c>
      <c r="B40" s="61" t="s">
        <v>304</v>
      </c>
      <c r="C40" s="61">
        <f>A40*2.5 /1000</f>
        <v>1.7500000000000002E-2</v>
      </c>
      <c r="D40" s="61">
        <f>Helicoil!E40/1000</f>
        <v>1.43E-2</v>
      </c>
      <c r="E40" s="61">
        <f>Helicoil!F40/1000</f>
        <v>8.6499999999999997E-3</v>
      </c>
      <c r="F40" s="61">
        <f>Helicoil!G40/1000</f>
        <v>8.8999999999999999E-3</v>
      </c>
      <c r="G40" s="61">
        <f>Helicoil!H40/1000</f>
        <v>7.2199999999999999E-3</v>
      </c>
      <c r="H40" s="68">
        <f>Helicoil!I40</f>
        <v>7.41</v>
      </c>
      <c r="I40" s="61">
        <f>Helicoil!J40/1000</f>
        <v>7.3000000000000001E-3</v>
      </c>
      <c r="J40" s="61">
        <f>Helicoil!K40/1000</f>
        <v>1.7000000000000001E-2</v>
      </c>
      <c r="K40" s="61">
        <f>Helicoil!L40/1000</f>
        <v>8.3000000000000001E-3</v>
      </c>
      <c r="L40" s="31">
        <f>(Tabla1[[#This Row],[d1_min]]+Tabla1[[#This Row],[d1_max]])/2</f>
        <v>8.7749999999999998E-3</v>
      </c>
      <c r="M40" s="106">
        <f>(Tabla1[[#This Row],[D1Hc_min]]+Tabla1[[#This Row],[D1Hc_max]]/1000)/2</f>
        <v>7.3150000000000003E-3</v>
      </c>
      <c r="N40" s="31">
        <f>Tabla1[[#This Row],[W]]*1000</f>
        <v>14.3</v>
      </c>
      <c r="V40">
        <v>14.3</v>
      </c>
    </row>
    <row r="41" spans="1:22" ht="15" thickBot="1" x14ac:dyDescent="0.35">
      <c r="A41" s="62">
        <v>7</v>
      </c>
      <c r="B41" s="61" t="s">
        <v>305</v>
      </c>
      <c r="C41" s="61">
        <f>A41*3 /1000</f>
        <v>2.1000000000000001E-2</v>
      </c>
      <c r="D41" s="61">
        <f>Helicoil!E41/1000</f>
        <v>1.7399999999999999E-2</v>
      </c>
      <c r="E41" s="61">
        <f>Helicoil!F41/1000</f>
        <v>8.6499999999999997E-3</v>
      </c>
      <c r="F41" s="61">
        <f>Helicoil!G41/1000</f>
        <v>8.8999999999999999E-3</v>
      </c>
      <c r="G41" s="61">
        <f>Helicoil!H41/1000</f>
        <v>7.2199999999999999E-3</v>
      </c>
      <c r="H41" s="68">
        <f>Helicoil!I41</f>
        <v>7.41</v>
      </c>
      <c r="I41" s="61">
        <f>Helicoil!J41/1000</f>
        <v>7.3000000000000001E-3</v>
      </c>
      <c r="J41" s="61">
        <f>Helicoil!K41/1000</f>
        <v>2.0500000000000001E-2</v>
      </c>
      <c r="K41" s="61">
        <f>Helicoil!L41/1000</f>
        <v>8.3000000000000001E-3</v>
      </c>
      <c r="L41" s="31">
        <f>(Tabla1[[#This Row],[d1_min]]+Tabla1[[#This Row],[d1_max]])/2</f>
        <v>8.7749999999999998E-3</v>
      </c>
      <c r="M41" s="106">
        <f>(Tabla1[[#This Row],[D1Hc_min]]+Tabla1[[#This Row],[D1Hc_max]]/1000)/2</f>
        <v>7.3150000000000003E-3</v>
      </c>
      <c r="N41" s="31">
        <f>Tabla1[[#This Row],[W]]*1000</f>
        <v>17.399999999999999</v>
      </c>
      <c r="V41">
        <v>17.399999999999999</v>
      </c>
    </row>
    <row r="42" spans="1:22" x14ac:dyDescent="0.3">
      <c r="A42" s="31">
        <v>8</v>
      </c>
      <c r="B42" s="61" t="s">
        <v>301</v>
      </c>
      <c r="C42" s="31">
        <f t="shared" si="0"/>
        <v>8.0000000000000002E-3</v>
      </c>
      <c r="D42" s="61">
        <f>Helicoil!E42/1000</f>
        <v>4.7000000000000002E-3</v>
      </c>
      <c r="E42" s="61">
        <f>Helicoil!F42/1000</f>
        <v>9.8499999999999994E-3</v>
      </c>
      <c r="F42" s="61">
        <f>Helicoil!G42/1000</f>
        <v>1.01E-2</v>
      </c>
      <c r="G42" s="61">
        <f>Helicoil!H42/1000</f>
        <v>8.2699999999999996E-3</v>
      </c>
      <c r="H42" s="68">
        <f>Helicoil!I42</f>
        <v>8.48</v>
      </c>
      <c r="I42" s="61">
        <f>Helicoil!J42/1000</f>
        <v>8.4000000000000012E-3</v>
      </c>
      <c r="J42" s="61">
        <f>Helicoil!K42/1000</f>
        <v>7.4000000000000003E-3</v>
      </c>
      <c r="K42" s="61">
        <f>Helicoil!L42/1000</f>
        <v>9.6200000000000001E-3</v>
      </c>
      <c r="L42" s="31">
        <f>(Tabla1[[#This Row],[d1_min]]+Tabla1[[#This Row],[d1_max]])/2</f>
        <v>9.9749999999999995E-3</v>
      </c>
      <c r="M42" s="106">
        <f>(Tabla1[[#This Row],[D1Hc_min]]+Tabla1[[#This Row],[D1Hc_max]]/1000)/2</f>
        <v>8.3750000000000005E-3</v>
      </c>
      <c r="N42" s="31">
        <f>Tabla1[[#This Row],[W]]*1000</f>
        <v>4.7</v>
      </c>
      <c r="V42">
        <v>4.7</v>
      </c>
    </row>
    <row r="43" spans="1:22" x14ac:dyDescent="0.3">
      <c r="A43" s="31">
        <v>8</v>
      </c>
      <c r="B43" s="61" t="s">
        <v>302</v>
      </c>
      <c r="C43" s="61">
        <f>A43*1.5 /1000</f>
        <v>1.2E-2</v>
      </c>
      <c r="D43" s="61">
        <f>Helicoil!E43/1000</f>
        <v>7.4000000000000003E-3</v>
      </c>
      <c r="E43" s="61">
        <f>Helicoil!F43/1000</f>
        <v>9.8499999999999994E-3</v>
      </c>
      <c r="F43" s="61">
        <f>Helicoil!G43/1000</f>
        <v>1.01E-2</v>
      </c>
      <c r="G43" s="61">
        <f>Helicoil!H43/1000</f>
        <v>8.2699999999999996E-3</v>
      </c>
      <c r="H43" s="68">
        <f>Helicoil!I43</f>
        <v>8.48</v>
      </c>
      <c r="I43" s="61">
        <f>Helicoil!J43/1000</f>
        <v>8.4000000000000012E-3</v>
      </c>
      <c r="J43" s="61">
        <f>Helicoil!K43/1000</f>
        <v>1.14E-2</v>
      </c>
      <c r="K43" s="61">
        <f>Helicoil!L43/1000</f>
        <v>9.6200000000000001E-3</v>
      </c>
      <c r="L43" s="31">
        <f>(Tabla1[[#This Row],[d1_min]]+Tabla1[[#This Row],[d1_max]])/2</f>
        <v>9.9749999999999995E-3</v>
      </c>
      <c r="M43" s="106">
        <f>(Tabla1[[#This Row],[D1Hc_min]]+Tabla1[[#This Row],[D1Hc_max]]/1000)/2</f>
        <v>8.3750000000000005E-3</v>
      </c>
      <c r="N43" s="31">
        <f>Tabla1[[#This Row],[W]]*1000</f>
        <v>7.4</v>
      </c>
      <c r="V43">
        <v>7.4</v>
      </c>
    </row>
    <row r="44" spans="1:22" x14ac:dyDescent="0.3">
      <c r="A44" s="31">
        <v>8</v>
      </c>
      <c r="B44" s="61" t="s">
        <v>303</v>
      </c>
      <c r="C44" s="61">
        <f>A44*2 /1000</f>
        <v>1.6E-2</v>
      </c>
      <c r="D44" s="61">
        <f>Helicoil!E44/1000</f>
        <v>1.06E-2</v>
      </c>
      <c r="E44" s="61">
        <f>Helicoil!F44/1000</f>
        <v>9.8499999999999994E-3</v>
      </c>
      <c r="F44" s="61">
        <f>Helicoil!G44/1000</f>
        <v>1.01E-2</v>
      </c>
      <c r="G44" s="61">
        <f>Helicoil!H44/1000</f>
        <v>8.2699999999999996E-3</v>
      </c>
      <c r="H44" s="68">
        <f>Helicoil!I44</f>
        <v>8.48</v>
      </c>
      <c r="I44" s="61">
        <f>Helicoil!J44/1000</f>
        <v>8.4000000000000012E-3</v>
      </c>
      <c r="J44" s="61">
        <f>Helicoil!K44/1000</f>
        <v>1.54E-2</v>
      </c>
      <c r="K44" s="61">
        <f>Helicoil!L44/1000</f>
        <v>9.6200000000000001E-3</v>
      </c>
      <c r="L44" s="31">
        <f>(Tabla1[[#This Row],[d1_min]]+Tabla1[[#This Row],[d1_max]])/2</f>
        <v>9.9749999999999995E-3</v>
      </c>
      <c r="M44" s="106">
        <f>(Tabla1[[#This Row],[D1Hc_min]]+Tabla1[[#This Row],[D1Hc_max]]/1000)/2</f>
        <v>8.3750000000000005E-3</v>
      </c>
      <c r="N44" s="31">
        <f>Tabla1[[#This Row],[W]]*1000</f>
        <v>10.6</v>
      </c>
      <c r="V44">
        <v>10.6</v>
      </c>
    </row>
    <row r="45" spans="1:22" x14ac:dyDescent="0.3">
      <c r="A45" s="31">
        <v>8</v>
      </c>
      <c r="B45" s="61" t="s">
        <v>304</v>
      </c>
      <c r="C45" s="61">
        <f>A45*2.5 /1000</f>
        <v>0.02</v>
      </c>
      <c r="D45" s="61">
        <f>Helicoil!E45/1000</f>
        <v>1.35E-2</v>
      </c>
      <c r="E45" s="61">
        <f>Helicoil!F45/1000</f>
        <v>9.8499999999999994E-3</v>
      </c>
      <c r="F45" s="61">
        <f>Helicoil!G45/1000</f>
        <v>1.01E-2</v>
      </c>
      <c r="G45" s="61">
        <f>Helicoil!H45/1000</f>
        <v>8.2699999999999996E-3</v>
      </c>
      <c r="H45" s="68">
        <f>Helicoil!I45</f>
        <v>8.48</v>
      </c>
      <c r="I45" s="61">
        <f>Helicoil!J45/1000</f>
        <v>8.4000000000000012E-3</v>
      </c>
      <c r="J45" s="61">
        <f>Helicoil!K45/1000</f>
        <v>1.9399999999999997E-2</v>
      </c>
      <c r="K45" s="61">
        <f>Helicoil!L45/1000</f>
        <v>9.6200000000000001E-3</v>
      </c>
      <c r="L45" s="31">
        <f>(Tabla1[[#This Row],[d1_min]]+Tabla1[[#This Row],[d1_max]])/2</f>
        <v>9.9749999999999995E-3</v>
      </c>
      <c r="M45" s="106">
        <f>(Tabla1[[#This Row],[D1Hc_min]]+Tabla1[[#This Row],[D1Hc_max]]/1000)/2</f>
        <v>8.3750000000000005E-3</v>
      </c>
      <c r="N45" s="31">
        <f>Tabla1[[#This Row],[W]]*1000</f>
        <v>13.5</v>
      </c>
      <c r="V45">
        <v>13.5</v>
      </c>
    </row>
    <row r="46" spans="1:22" ht="15" thickBot="1" x14ac:dyDescent="0.35">
      <c r="A46" s="62">
        <v>8</v>
      </c>
      <c r="B46" s="61" t="s">
        <v>305</v>
      </c>
      <c r="C46" s="61">
        <f>A46*3 /1000</f>
        <v>2.4E-2</v>
      </c>
      <c r="D46" s="61">
        <f>Helicoil!E46/1000</f>
        <v>1.6399999999999998E-2</v>
      </c>
      <c r="E46" s="61">
        <f>Helicoil!F46/1000</f>
        <v>9.8499999999999994E-3</v>
      </c>
      <c r="F46" s="61">
        <f>Helicoil!G46/1000</f>
        <v>1.01E-2</v>
      </c>
      <c r="G46" s="61">
        <f>Helicoil!H46/1000</f>
        <v>8.2699999999999996E-3</v>
      </c>
      <c r="H46" s="68">
        <f>Helicoil!I46</f>
        <v>8.48</v>
      </c>
      <c r="I46" s="61">
        <f>Helicoil!J46/1000</f>
        <v>8.4000000000000012E-3</v>
      </c>
      <c r="J46" s="61">
        <f>Helicoil!K46/1000</f>
        <v>2.3399999999999997E-2</v>
      </c>
      <c r="K46" s="61">
        <f>Helicoil!L46/1000</f>
        <v>9.6200000000000001E-3</v>
      </c>
      <c r="L46" s="31">
        <f>(Tabla1[[#This Row],[d1_min]]+Tabla1[[#This Row],[d1_max]])/2</f>
        <v>9.9749999999999995E-3</v>
      </c>
      <c r="M46" s="106">
        <f>(Tabla1[[#This Row],[D1Hc_min]]+Tabla1[[#This Row],[D1Hc_max]]/1000)/2</f>
        <v>8.3750000000000005E-3</v>
      </c>
      <c r="N46" s="31">
        <f>Tabla1[[#This Row],[W]]*1000</f>
        <v>16.399999999999999</v>
      </c>
      <c r="V46">
        <v>16.399999999999999</v>
      </c>
    </row>
    <row r="47" spans="1:22" x14ac:dyDescent="0.3">
      <c r="A47" s="31">
        <v>8</v>
      </c>
      <c r="B47" s="61" t="s">
        <v>301</v>
      </c>
      <c r="C47" s="31">
        <f t="shared" si="0"/>
        <v>8.0000000000000002E-3</v>
      </c>
      <c r="D47" s="61">
        <f>Helicoil!E47/1000</f>
        <v>6.0999999999999995E-3</v>
      </c>
      <c r="E47" s="61">
        <f>Helicoil!F47/1000</f>
        <v>9.8499999999999994E-3</v>
      </c>
      <c r="F47" s="61">
        <f>Helicoil!G47/1000</f>
        <v>1.01E-2</v>
      </c>
      <c r="G47" s="61">
        <f>Helicoil!H47/1000</f>
        <v>8.2199999999999999E-3</v>
      </c>
      <c r="H47" s="68">
        <f>Helicoil!I47</f>
        <v>8.41</v>
      </c>
      <c r="I47" s="61">
        <f>Helicoil!J47/1000</f>
        <v>8.3000000000000001E-3</v>
      </c>
      <c r="J47" s="61">
        <f>Helicoil!K47/1000</f>
        <v>7.4999999999999997E-3</v>
      </c>
      <c r="K47" s="61">
        <f>Helicoil!L47/1000</f>
        <v>9.300000000000001E-3</v>
      </c>
      <c r="L47" s="31">
        <f>(Tabla1[[#This Row],[d1_min]]+Tabla1[[#This Row],[d1_max]])/2</f>
        <v>9.9749999999999995E-3</v>
      </c>
      <c r="M47" s="106">
        <f>(Tabla1[[#This Row],[D1Hc_min]]+Tabla1[[#This Row],[D1Hc_max]]/1000)/2</f>
        <v>8.3149999999999995E-3</v>
      </c>
      <c r="N47" s="31">
        <f>Tabla1[[#This Row],[W]]*1000</f>
        <v>6.1</v>
      </c>
      <c r="V47">
        <v>6.1</v>
      </c>
    </row>
    <row r="48" spans="1:22" x14ac:dyDescent="0.3">
      <c r="A48" s="31">
        <v>8</v>
      </c>
      <c r="B48" s="61" t="s">
        <v>302</v>
      </c>
      <c r="C48" s="61">
        <f>A48*1.5 /1000</f>
        <v>1.2E-2</v>
      </c>
      <c r="D48" s="61">
        <f>Helicoil!E48/1000</f>
        <v>9.4999999999999998E-3</v>
      </c>
      <c r="E48" s="61">
        <f>Helicoil!F48/1000</f>
        <v>9.8499999999999994E-3</v>
      </c>
      <c r="F48" s="61">
        <f>Helicoil!G48/1000</f>
        <v>1.01E-2</v>
      </c>
      <c r="G48" s="61">
        <f>Helicoil!H48/1000</f>
        <v>8.2199999999999999E-3</v>
      </c>
      <c r="H48" s="68">
        <f>Helicoil!I48</f>
        <v>8.41</v>
      </c>
      <c r="I48" s="61">
        <f>Helicoil!J48/1000</f>
        <v>8.3000000000000001E-3</v>
      </c>
      <c r="J48" s="61">
        <f>Helicoil!K48/1000</f>
        <v>1.15E-2</v>
      </c>
      <c r="K48" s="61">
        <f>Helicoil!L48/1000</f>
        <v>9.300000000000001E-3</v>
      </c>
      <c r="L48" s="31">
        <f>(Tabla1[[#This Row],[d1_min]]+Tabla1[[#This Row],[d1_max]])/2</f>
        <v>9.9749999999999995E-3</v>
      </c>
      <c r="M48" s="106">
        <f>(Tabla1[[#This Row],[D1Hc_min]]+Tabla1[[#This Row],[D1Hc_max]]/1000)/2</f>
        <v>8.3149999999999995E-3</v>
      </c>
      <c r="N48" s="31">
        <f>Tabla1[[#This Row],[W]]*1000</f>
        <v>9.5</v>
      </c>
      <c r="V48">
        <v>9.5</v>
      </c>
    </row>
    <row r="49" spans="1:24" x14ac:dyDescent="0.3">
      <c r="A49" s="31">
        <v>8</v>
      </c>
      <c r="B49" s="61" t="s">
        <v>303</v>
      </c>
      <c r="C49" s="61">
        <f>A49*2 /1000</f>
        <v>1.6E-2</v>
      </c>
      <c r="D49" s="61">
        <f>Helicoil!E49/1000</f>
        <v>1.29E-2</v>
      </c>
      <c r="E49" s="61">
        <f>Helicoil!F49/1000</f>
        <v>9.8499999999999994E-3</v>
      </c>
      <c r="F49" s="61">
        <f>Helicoil!G49/1000</f>
        <v>1.01E-2</v>
      </c>
      <c r="G49" s="61">
        <f>Helicoil!H49/1000</f>
        <v>8.2199999999999999E-3</v>
      </c>
      <c r="H49" s="68">
        <f>Helicoil!I49</f>
        <v>8.41</v>
      </c>
      <c r="I49" s="61">
        <f>Helicoil!J49/1000</f>
        <v>8.3000000000000001E-3</v>
      </c>
      <c r="J49" s="61">
        <f>Helicoil!K49/1000</f>
        <v>1.55E-2</v>
      </c>
      <c r="K49" s="61">
        <f>Helicoil!L49/1000</f>
        <v>9.300000000000001E-3</v>
      </c>
      <c r="L49" s="31">
        <f>(Tabla1[[#This Row],[d1_min]]+Tabla1[[#This Row],[d1_max]])/2</f>
        <v>9.9749999999999995E-3</v>
      </c>
      <c r="M49" s="106">
        <f>(Tabla1[[#This Row],[D1Hc_min]]+Tabla1[[#This Row],[D1Hc_max]]/1000)/2</f>
        <v>8.3149999999999995E-3</v>
      </c>
      <c r="N49" s="31">
        <f>Tabla1[[#This Row],[W]]*1000</f>
        <v>12.9</v>
      </c>
      <c r="V49">
        <v>12.9</v>
      </c>
    </row>
    <row r="50" spans="1:24" x14ac:dyDescent="0.3">
      <c r="A50" s="31">
        <v>8</v>
      </c>
      <c r="B50" s="61" t="s">
        <v>304</v>
      </c>
      <c r="C50" s="61">
        <f>A50*2.5 /1000</f>
        <v>0.02</v>
      </c>
      <c r="D50" s="61">
        <f>Helicoil!E50/1000</f>
        <v>1.6500000000000001E-2</v>
      </c>
      <c r="E50" s="61">
        <f>Helicoil!F50/1000</f>
        <v>9.8499999999999994E-3</v>
      </c>
      <c r="F50" s="61">
        <f>Helicoil!G50/1000</f>
        <v>1.01E-2</v>
      </c>
      <c r="G50" s="61">
        <f>Helicoil!H50/1000</f>
        <v>8.2199999999999999E-3</v>
      </c>
      <c r="H50" s="68">
        <f>Helicoil!I50</f>
        <v>8.41</v>
      </c>
      <c r="I50" s="61">
        <f>Helicoil!J50/1000</f>
        <v>8.3000000000000001E-3</v>
      </c>
      <c r="J50" s="61">
        <f>Helicoil!K50/1000</f>
        <v>1.95E-2</v>
      </c>
      <c r="K50" s="61">
        <f>Helicoil!L50/1000</f>
        <v>9.300000000000001E-3</v>
      </c>
      <c r="L50" s="31">
        <f>(Tabla1[[#This Row],[d1_min]]+Tabla1[[#This Row],[d1_max]])/2</f>
        <v>9.9749999999999995E-3</v>
      </c>
      <c r="M50" s="106">
        <f>(Tabla1[[#This Row],[D1Hc_min]]+Tabla1[[#This Row],[D1Hc_max]]/1000)/2</f>
        <v>8.3149999999999995E-3</v>
      </c>
      <c r="N50" s="31">
        <f>Tabla1[[#This Row],[W]]*1000</f>
        <v>16.5</v>
      </c>
      <c r="V50">
        <v>16.5</v>
      </c>
    </row>
    <row r="51" spans="1:24" ht="15" thickBot="1" x14ac:dyDescent="0.35">
      <c r="A51" s="62">
        <v>8</v>
      </c>
      <c r="B51" s="61" t="s">
        <v>305</v>
      </c>
      <c r="C51" s="61">
        <f>A51*3 /1000</f>
        <v>2.4E-2</v>
      </c>
      <c r="D51" s="61">
        <f>Helicoil!E51/1000</f>
        <v>1.9899999999999998E-2</v>
      </c>
      <c r="E51" s="61">
        <f>Helicoil!F51/1000</f>
        <v>9.8499999999999994E-3</v>
      </c>
      <c r="F51" s="61">
        <f>Helicoil!G51/1000</f>
        <v>1.01E-2</v>
      </c>
      <c r="G51" s="61">
        <f>Helicoil!H51/1000</f>
        <v>8.2199999999999999E-3</v>
      </c>
      <c r="H51" s="68">
        <f>Helicoil!I51</f>
        <v>8.41</v>
      </c>
      <c r="I51" s="61">
        <f>Helicoil!J51/1000</f>
        <v>8.3000000000000001E-3</v>
      </c>
      <c r="J51" s="61">
        <f>Helicoil!K51/1000</f>
        <v>2.35E-2</v>
      </c>
      <c r="K51" s="61">
        <f>Helicoil!L51/1000</f>
        <v>9.300000000000001E-3</v>
      </c>
      <c r="L51" s="31">
        <f>(Tabla1[[#This Row],[d1_min]]+Tabla1[[#This Row],[d1_max]])/2</f>
        <v>9.9749999999999995E-3</v>
      </c>
      <c r="M51" s="106">
        <f>(Tabla1[[#This Row],[D1Hc_min]]+Tabla1[[#This Row],[D1Hc_max]]/1000)/2</f>
        <v>8.3149999999999995E-3</v>
      </c>
      <c r="N51" s="31">
        <f>Tabla1[[#This Row],[W]]*1000</f>
        <v>19.899999999999999</v>
      </c>
      <c r="V51">
        <v>19.899999999999999</v>
      </c>
    </row>
    <row r="52" spans="1:24" x14ac:dyDescent="0.3">
      <c r="A52" s="31">
        <v>9</v>
      </c>
      <c r="B52" s="61" t="s">
        <v>301</v>
      </c>
      <c r="C52" s="31">
        <f t="shared" si="0"/>
        <v>8.9999999999999993E-3</v>
      </c>
      <c r="D52" s="61">
        <f>Helicoil!E52/1000</f>
        <v>5.3E-3</v>
      </c>
      <c r="E52" s="61">
        <f>Helicoil!F52/1000</f>
        <v>1.085E-2</v>
      </c>
      <c r="F52" s="61">
        <f>Helicoil!G52/1000</f>
        <v>1.11E-2</v>
      </c>
      <c r="G52" s="61">
        <f>Helicoil!H52/1000</f>
        <v>9.2699999999999987E-3</v>
      </c>
      <c r="H52" s="68">
        <f>Helicoil!I52</f>
        <v>9.48</v>
      </c>
      <c r="I52" s="61">
        <f>Helicoil!J52/1000</f>
        <v>9.4000000000000004E-3</v>
      </c>
      <c r="J52" s="61">
        <f>Helicoil!K52/1000</f>
        <v>8.4000000000000012E-3</v>
      </c>
      <c r="K52" s="61">
        <f>Helicoil!L52/1000</f>
        <v>1.0619999999999999E-2</v>
      </c>
      <c r="L52" s="31">
        <f>(Tabla1[[#This Row],[d1_min]]+Tabla1[[#This Row],[d1_max]])/2</f>
        <v>1.0975E-2</v>
      </c>
      <c r="M52" s="106">
        <f>(Tabla1[[#This Row],[D1Hc_min]]+Tabla1[[#This Row],[D1Hc_max]]/1000)/2</f>
        <v>9.3749999999999997E-3</v>
      </c>
      <c r="N52" s="31">
        <f>Tabla1[[#This Row],[W]]*1000</f>
        <v>5.3</v>
      </c>
    </row>
    <row r="53" spans="1:24" x14ac:dyDescent="0.3">
      <c r="A53" s="31">
        <v>9</v>
      </c>
      <c r="B53" s="61" t="s">
        <v>302</v>
      </c>
      <c r="C53" s="61">
        <f>A53*1.5 /1000</f>
        <v>1.35E-2</v>
      </c>
      <c r="D53" s="61">
        <f>Helicoil!E53/1000</f>
        <v>8.6E-3</v>
      </c>
      <c r="E53" s="61">
        <f>Helicoil!F53/1000</f>
        <v>1.085E-2</v>
      </c>
      <c r="F53" s="61">
        <f>Helicoil!G53/1000</f>
        <v>1.11E-2</v>
      </c>
      <c r="G53" s="61">
        <f>Helicoil!H53/1000</f>
        <v>9.2699999999999987E-3</v>
      </c>
      <c r="H53" s="68">
        <f>Helicoil!I53</f>
        <v>9.48</v>
      </c>
      <c r="I53" s="61">
        <f>Helicoil!J53/1000</f>
        <v>9.4000000000000004E-3</v>
      </c>
      <c r="J53" s="61">
        <f>Helicoil!K53/1000</f>
        <v>1.29E-2</v>
      </c>
      <c r="K53" s="61">
        <f>Helicoil!L53/1000</f>
        <v>1.0619999999999999E-2</v>
      </c>
      <c r="L53" s="31">
        <f>(Tabla1[[#This Row],[d1_min]]+Tabla1[[#This Row],[d1_max]])/2</f>
        <v>1.0975E-2</v>
      </c>
      <c r="M53" s="106">
        <f>(Tabla1[[#This Row],[D1Hc_min]]+Tabla1[[#This Row],[D1Hc_max]]/1000)/2</f>
        <v>9.3749999999999997E-3</v>
      </c>
      <c r="N53" s="31">
        <f>Tabla1[[#This Row],[W]]*1000</f>
        <v>8.6</v>
      </c>
      <c r="X53">
        <v>12.9</v>
      </c>
    </row>
    <row r="54" spans="1:24" x14ac:dyDescent="0.3">
      <c r="A54" s="31">
        <v>9</v>
      </c>
      <c r="B54" s="61" t="s">
        <v>303</v>
      </c>
      <c r="C54" s="61">
        <f>A54*2 /1000</f>
        <v>1.7999999999999999E-2</v>
      </c>
      <c r="D54" s="61">
        <f>Helicoil!E54/1000</f>
        <v>1.1900000000000001E-2</v>
      </c>
      <c r="E54" s="61">
        <f>Helicoil!F54/1000</f>
        <v>1.085E-2</v>
      </c>
      <c r="F54" s="61">
        <f>Helicoil!G54/1000</f>
        <v>1.11E-2</v>
      </c>
      <c r="G54" s="61">
        <f>Helicoil!H54/1000</f>
        <v>9.2699999999999987E-3</v>
      </c>
      <c r="H54" s="68">
        <f>Helicoil!I54</f>
        <v>9.48</v>
      </c>
      <c r="I54" s="61">
        <f>Helicoil!J54/1000</f>
        <v>9.4000000000000004E-3</v>
      </c>
      <c r="J54" s="61">
        <f>Helicoil!K54/1000</f>
        <v>1.7899999999999999E-2</v>
      </c>
      <c r="K54" s="61">
        <f>Helicoil!L54/1000</f>
        <v>1.0619999999999999E-2</v>
      </c>
      <c r="L54" s="31">
        <f>(Tabla1[[#This Row],[d1_min]]+Tabla1[[#This Row],[d1_max]])/2</f>
        <v>1.0975E-2</v>
      </c>
      <c r="M54" s="106">
        <f>(Tabla1[[#This Row],[D1Hc_min]]+Tabla1[[#This Row],[D1Hc_max]]/1000)/2</f>
        <v>9.3749999999999997E-3</v>
      </c>
      <c r="N54" s="31">
        <f>Tabla1[[#This Row],[W]]*1000</f>
        <v>11.9</v>
      </c>
      <c r="X54">
        <v>21.9</v>
      </c>
    </row>
    <row r="55" spans="1:24" x14ac:dyDescent="0.3">
      <c r="A55" s="31">
        <v>9</v>
      </c>
      <c r="B55" s="61" t="s">
        <v>304</v>
      </c>
      <c r="C55" s="61">
        <f>A55*2.5 /1000</f>
        <v>2.2499999999999999E-2</v>
      </c>
      <c r="D55" s="61">
        <f>Helicoil!E55/1000</f>
        <v>1.5300000000000001E-2</v>
      </c>
      <c r="E55" s="61">
        <f>Helicoil!F55/1000</f>
        <v>1.085E-2</v>
      </c>
      <c r="F55" s="61">
        <f>Helicoil!G55/1000</f>
        <v>1.11E-2</v>
      </c>
      <c r="G55" s="61">
        <f>Helicoil!H55/1000</f>
        <v>9.2699999999999987E-3</v>
      </c>
      <c r="H55" s="68">
        <f>Helicoil!I55</f>
        <v>9.48</v>
      </c>
      <c r="I55" s="61">
        <f>Helicoil!J55/1000</f>
        <v>9.4000000000000004E-3</v>
      </c>
      <c r="J55" s="61">
        <f>Helicoil!K55/1000</f>
        <v>2.1899999999999999E-2</v>
      </c>
      <c r="K55" s="61">
        <f>Helicoil!L55/1000</f>
        <v>1.0619999999999999E-2</v>
      </c>
      <c r="L55" s="31">
        <f>(Tabla1[[#This Row],[d1_min]]+Tabla1[[#This Row],[d1_max]])/2</f>
        <v>1.0975E-2</v>
      </c>
      <c r="M55" s="106">
        <f>(Tabla1[[#This Row],[D1Hc_min]]+Tabla1[[#This Row],[D1Hc_max]]/1000)/2</f>
        <v>9.3749999999999997E-3</v>
      </c>
      <c r="N55" s="31">
        <f>Tabla1[[#This Row],[W]]*1000</f>
        <v>15.3</v>
      </c>
      <c r="X55">
        <v>26.4</v>
      </c>
    </row>
    <row r="56" spans="1:24" ht="15" thickBot="1" x14ac:dyDescent="0.35">
      <c r="A56" s="62">
        <v>9</v>
      </c>
      <c r="B56" s="61" t="s">
        <v>305</v>
      </c>
      <c r="C56" s="61">
        <f>A56*3 /1000</f>
        <v>2.7E-2</v>
      </c>
      <c r="D56" s="61">
        <f>Helicoil!E56/1000</f>
        <v>1.8100000000000002E-2</v>
      </c>
      <c r="E56" s="61">
        <f>Helicoil!F56/1000</f>
        <v>1.085E-2</v>
      </c>
      <c r="F56" s="61">
        <f>Helicoil!G56/1000</f>
        <v>1.11E-2</v>
      </c>
      <c r="G56" s="61">
        <f>Helicoil!H56/1000</f>
        <v>9.2699999999999987E-3</v>
      </c>
      <c r="H56" s="68">
        <f>Helicoil!I56</f>
        <v>9.48</v>
      </c>
      <c r="I56" s="61">
        <f>Helicoil!J56/1000</f>
        <v>9.4000000000000004E-3</v>
      </c>
      <c r="J56" s="61">
        <f>Helicoil!K56/1000</f>
        <v>2.64E-2</v>
      </c>
      <c r="K56" s="61">
        <f>Helicoil!L56/1000</f>
        <v>1.0619999999999999E-2</v>
      </c>
      <c r="L56" s="31">
        <f>(Tabla1[[#This Row],[d1_min]]+Tabla1[[#This Row],[d1_max]])/2</f>
        <v>1.0975E-2</v>
      </c>
      <c r="M56" s="106">
        <f>(Tabla1[[#This Row],[D1Hc_min]]+Tabla1[[#This Row],[D1Hc_max]]/1000)/2</f>
        <v>9.3749999999999997E-3</v>
      </c>
      <c r="N56" s="31">
        <f>Tabla1[[#This Row],[W]]*1000</f>
        <v>18.100000000000001</v>
      </c>
      <c r="X56">
        <v>9.1999999999999993</v>
      </c>
    </row>
    <row r="57" spans="1:24" x14ac:dyDescent="0.3">
      <c r="A57" s="31">
        <v>10</v>
      </c>
      <c r="B57" s="61" t="s">
        <v>301</v>
      </c>
      <c r="C57" s="31">
        <f t="shared" si="0"/>
        <v>0.01</v>
      </c>
      <c r="D57" s="61">
        <f>Helicoil!E57/1000</f>
        <v>5.0000000000000001E-3</v>
      </c>
      <c r="E57" s="61">
        <f>Helicoil!F57/1000</f>
        <v>1.21E-2</v>
      </c>
      <c r="F57" s="61">
        <f>Helicoil!G57/1000</f>
        <v>1.2500000000000001E-2</v>
      </c>
      <c r="G57" s="61">
        <f>Helicoil!H57/1000</f>
        <v>1.0320000000000001E-2</v>
      </c>
      <c r="H57" s="68">
        <f>Helicoil!I57</f>
        <v>10.56</v>
      </c>
      <c r="I57" s="61">
        <f>Helicoil!J57/1000</f>
        <v>1.0500000000000001E-2</v>
      </c>
      <c r="J57" s="61">
        <f>Helicoil!K57/1000</f>
        <v>9.1999999999999998E-3</v>
      </c>
      <c r="K57" s="61">
        <f>Helicoil!L57/1000</f>
        <v>1.1949999999999999E-2</v>
      </c>
      <c r="L57" s="31">
        <f>(Tabla1[[#This Row],[d1_min]]+Tabla1[[#This Row],[d1_max]])/2</f>
        <v>1.23E-2</v>
      </c>
      <c r="M57" s="106">
        <f>(Tabla1[[#This Row],[D1Hc_min]]+Tabla1[[#This Row],[D1Hc_max]]/1000)/2</f>
        <v>1.0440000000000001E-2</v>
      </c>
      <c r="N57" s="31">
        <f>Tabla1[[#This Row],[W]]*1000</f>
        <v>5</v>
      </c>
      <c r="X57">
        <v>14.2</v>
      </c>
    </row>
    <row r="58" spans="1:24" x14ac:dyDescent="0.3">
      <c r="A58" s="31">
        <v>10</v>
      </c>
      <c r="B58" s="61" t="s">
        <v>302</v>
      </c>
      <c r="C58" s="61">
        <f>A58*1.5 /1000</f>
        <v>1.4999999999999999E-2</v>
      </c>
      <c r="D58" s="61">
        <f>Helicoil!E58/1000</f>
        <v>8.0999999999999996E-3</v>
      </c>
      <c r="E58" s="61">
        <f>Helicoil!F58/1000</f>
        <v>1.21E-2</v>
      </c>
      <c r="F58" s="61">
        <f>Helicoil!G58/1000</f>
        <v>1.2500000000000001E-2</v>
      </c>
      <c r="G58" s="61">
        <f>Helicoil!H58/1000</f>
        <v>1.0320000000000001E-2</v>
      </c>
      <c r="H58" s="68">
        <f>Helicoil!I58</f>
        <v>10.56</v>
      </c>
      <c r="I58" s="61">
        <f>Helicoil!J58/1000</f>
        <v>1.0500000000000001E-2</v>
      </c>
      <c r="J58" s="61">
        <f>Helicoil!K58/1000</f>
        <v>1.4199999999999999E-2</v>
      </c>
      <c r="K58" s="61">
        <f>Helicoil!L58/1000</f>
        <v>1.1949999999999999E-2</v>
      </c>
      <c r="L58" s="31">
        <f>(Tabla1[[#This Row],[d1_min]]+Tabla1[[#This Row],[d1_max]])/2</f>
        <v>1.23E-2</v>
      </c>
      <c r="M58" s="106">
        <f>(Tabla1[[#This Row],[D1Hc_min]]+Tabla1[[#This Row],[D1Hc_max]]/1000)/2</f>
        <v>1.0440000000000001E-2</v>
      </c>
      <c r="N58" s="31">
        <f>Tabla1[[#This Row],[W]]*1000</f>
        <v>8.1</v>
      </c>
      <c r="X58">
        <v>19.2</v>
      </c>
    </row>
    <row r="59" spans="1:24" x14ac:dyDescent="0.3">
      <c r="A59" s="31">
        <v>10</v>
      </c>
      <c r="B59" s="61" t="s">
        <v>303</v>
      </c>
      <c r="C59" s="61">
        <f>A59*2 /1000</f>
        <v>0.02</v>
      </c>
      <c r="D59" s="61">
        <f>Helicoil!E59/1000</f>
        <v>1.12E-2</v>
      </c>
      <c r="E59" s="61">
        <f>Helicoil!F59/1000</f>
        <v>1.21E-2</v>
      </c>
      <c r="F59" s="61">
        <f>Helicoil!G59/1000</f>
        <v>1.2500000000000001E-2</v>
      </c>
      <c r="G59" s="61">
        <f>Helicoil!H59/1000</f>
        <v>1.0320000000000001E-2</v>
      </c>
      <c r="H59" s="68">
        <f>Helicoil!I59</f>
        <v>10.56</v>
      </c>
      <c r="I59" s="61">
        <f>Helicoil!J59/1000</f>
        <v>1.0500000000000001E-2</v>
      </c>
      <c r="J59" s="61">
        <f>Helicoil!K59/1000</f>
        <v>1.9199999999999998E-2</v>
      </c>
      <c r="K59" s="61">
        <f>Helicoil!L59/1000</f>
        <v>1.1949999999999999E-2</v>
      </c>
      <c r="L59" s="31">
        <f>(Tabla1[[#This Row],[d1_min]]+Tabla1[[#This Row],[d1_max]])/2</f>
        <v>1.23E-2</v>
      </c>
      <c r="M59" s="106">
        <f>(Tabla1[[#This Row],[D1Hc_min]]+Tabla1[[#This Row],[D1Hc_max]]/1000)/2</f>
        <v>1.0440000000000001E-2</v>
      </c>
      <c r="N59" s="31">
        <f>Tabla1[[#This Row],[W]]*1000</f>
        <v>11.2</v>
      </c>
      <c r="X59">
        <v>24.2</v>
      </c>
    </row>
    <row r="60" spans="1:24" x14ac:dyDescent="0.3">
      <c r="A60" s="31">
        <v>10</v>
      </c>
      <c r="B60" s="61" t="s">
        <v>304</v>
      </c>
      <c r="C60" s="61">
        <f>A60*2.5 /1000</f>
        <v>2.5000000000000001E-2</v>
      </c>
      <c r="D60" s="61">
        <f>Helicoil!E60/1000</f>
        <v>1.4199999999999999E-2</v>
      </c>
      <c r="E60" s="61">
        <f>Helicoil!F60/1000</f>
        <v>1.21E-2</v>
      </c>
      <c r="F60" s="61">
        <f>Helicoil!G60/1000</f>
        <v>1.2500000000000001E-2</v>
      </c>
      <c r="G60" s="61">
        <f>Helicoil!H60/1000</f>
        <v>1.0320000000000001E-2</v>
      </c>
      <c r="H60" s="68">
        <f>Helicoil!I60</f>
        <v>10.56</v>
      </c>
      <c r="I60" s="61">
        <f>Helicoil!J60/1000</f>
        <v>1.0500000000000001E-2</v>
      </c>
      <c r="J60" s="61">
        <f>Helicoil!K60/1000</f>
        <v>2.4199999999999999E-2</v>
      </c>
      <c r="K60" s="61">
        <f>Helicoil!L60/1000</f>
        <v>1.1949999999999999E-2</v>
      </c>
      <c r="L60" s="31">
        <f>(Tabla1[[#This Row],[d1_min]]+Tabla1[[#This Row],[d1_max]])/2</f>
        <v>1.23E-2</v>
      </c>
      <c r="M60" s="106">
        <f>(Tabla1[[#This Row],[D1Hc_min]]+Tabla1[[#This Row],[D1Hc_max]]/1000)/2</f>
        <v>1.0440000000000001E-2</v>
      </c>
      <c r="N60" s="31">
        <f>Tabla1[[#This Row],[W]]*1000</f>
        <v>14.2</v>
      </c>
      <c r="X60">
        <v>9.5</v>
      </c>
    </row>
    <row r="61" spans="1:24" ht="15" thickBot="1" x14ac:dyDescent="0.35">
      <c r="A61" s="62">
        <v>10</v>
      </c>
      <c r="B61" s="61" t="s">
        <v>305</v>
      </c>
      <c r="C61" s="61">
        <f>A61*3 /1000</f>
        <v>0.03</v>
      </c>
      <c r="D61" s="61">
        <f>Helicoil!E61/1000</f>
        <v>1.72E-2</v>
      </c>
      <c r="E61" s="61">
        <f>Helicoil!F61/1000</f>
        <v>1.21E-2</v>
      </c>
      <c r="F61" s="61">
        <f>Helicoil!G61/1000</f>
        <v>1.2500000000000001E-2</v>
      </c>
      <c r="G61" s="61">
        <f>Helicoil!H61/1000</f>
        <v>1.0320000000000001E-2</v>
      </c>
      <c r="H61" s="68">
        <f>Helicoil!I61</f>
        <v>10.56</v>
      </c>
      <c r="I61" s="61">
        <f>Helicoil!J61/1000</f>
        <v>1.0500000000000001E-2</v>
      </c>
      <c r="J61" s="61">
        <f>Helicoil!K61/1000</f>
        <v>2.92E-2</v>
      </c>
      <c r="K61" s="61">
        <f>Helicoil!L61/1000</f>
        <v>1.1949999999999999E-2</v>
      </c>
      <c r="L61" s="31">
        <f>(Tabla1[[#This Row],[d1_min]]+Tabla1[[#This Row],[d1_max]])/2</f>
        <v>1.23E-2</v>
      </c>
      <c r="M61" s="106">
        <f>(Tabla1[[#This Row],[D1Hc_min]]+Tabla1[[#This Row],[D1Hc_max]]/1000)/2</f>
        <v>1.0440000000000001E-2</v>
      </c>
      <c r="N61" s="31">
        <f>Tabla1[[#This Row],[W]]*1000</f>
        <v>17.2</v>
      </c>
      <c r="X61">
        <v>14.5</v>
      </c>
    </row>
    <row r="62" spans="1:24" x14ac:dyDescent="0.3">
      <c r="A62" s="31">
        <v>10</v>
      </c>
      <c r="B62" s="61" t="s">
        <v>301</v>
      </c>
      <c r="C62" s="31">
        <f t="shared" ref="C62:C87" si="1">A62*1 /1000</f>
        <v>0.01</v>
      </c>
      <c r="D62" s="61">
        <f>Helicoil!E62/1000</f>
        <v>7.6E-3</v>
      </c>
      <c r="E62" s="61">
        <f>Helicoil!F62/1000</f>
        <v>1.21E-2</v>
      </c>
      <c r="F62" s="61">
        <f>Helicoil!G62/1000</f>
        <v>1.2500000000000001E-2</v>
      </c>
      <c r="G62" s="61">
        <f>Helicoil!H62/1000</f>
        <v>1.022E-2</v>
      </c>
      <c r="H62" s="68">
        <f>Helicoil!I62</f>
        <v>10.41</v>
      </c>
      <c r="I62" s="61">
        <f>Helicoil!J62/1000</f>
        <v>1.025E-2</v>
      </c>
      <c r="J62" s="61">
        <f>Helicoil!K62/1000</f>
        <v>9.4999999999999998E-3</v>
      </c>
      <c r="K62" s="61">
        <f>Helicoil!L62/1000</f>
        <v>1.1300000000000001E-2</v>
      </c>
      <c r="L62" s="31">
        <f>(Tabla1[[#This Row],[d1_min]]+Tabla1[[#This Row],[d1_max]])/2</f>
        <v>1.23E-2</v>
      </c>
      <c r="M62" s="106">
        <f>(Tabla1[[#This Row],[D1Hc_min]]+Tabla1[[#This Row],[D1Hc_max]]/1000)/2</f>
        <v>1.0315000000000001E-2</v>
      </c>
      <c r="N62" s="31">
        <f>Tabla1[[#This Row],[W]]*1000</f>
        <v>7.6</v>
      </c>
      <c r="X62">
        <v>19.5</v>
      </c>
    </row>
    <row r="63" spans="1:24" x14ac:dyDescent="0.3">
      <c r="A63" s="31">
        <v>10</v>
      </c>
      <c r="B63" s="61" t="s">
        <v>302</v>
      </c>
      <c r="C63" s="61">
        <f>A63*1.5 /1000</f>
        <v>1.4999999999999999E-2</v>
      </c>
      <c r="D63" s="61">
        <f>Helicoil!E63/1000</f>
        <v>1.21E-2</v>
      </c>
      <c r="E63" s="61">
        <f>Helicoil!F63/1000</f>
        <v>1.21E-2</v>
      </c>
      <c r="F63" s="61">
        <f>Helicoil!G63/1000</f>
        <v>1.2500000000000001E-2</v>
      </c>
      <c r="G63" s="61">
        <f>Helicoil!H63/1000</f>
        <v>1.022E-2</v>
      </c>
      <c r="H63" s="68">
        <f>Helicoil!I63</f>
        <v>10.41</v>
      </c>
      <c r="I63" s="61">
        <f>Helicoil!J63/1000</f>
        <v>1.025E-2</v>
      </c>
      <c r="J63" s="61">
        <f>Helicoil!K63/1000</f>
        <v>1.4500000000000001E-2</v>
      </c>
      <c r="K63" s="61">
        <f>Helicoil!L63/1000</f>
        <v>1.1300000000000001E-2</v>
      </c>
      <c r="L63" s="31">
        <f>(Tabla1[[#This Row],[d1_min]]+Tabla1[[#This Row],[d1_max]])/2</f>
        <v>1.23E-2</v>
      </c>
      <c r="M63" s="106">
        <f>(Tabla1[[#This Row],[D1Hc_min]]+Tabla1[[#This Row],[D1Hc_max]]/1000)/2</f>
        <v>1.0315000000000001E-2</v>
      </c>
      <c r="N63" s="31">
        <f>Tabla1[[#This Row],[W]]*1000</f>
        <v>12.1</v>
      </c>
      <c r="X63">
        <v>24.5</v>
      </c>
    </row>
    <row r="64" spans="1:24" x14ac:dyDescent="0.3">
      <c r="A64" s="31">
        <v>10</v>
      </c>
      <c r="B64" s="61" t="s">
        <v>303</v>
      </c>
      <c r="C64" s="61">
        <f>A64*2 /1000</f>
        <v>0.02</v>
      </c>
      <c r="D64" s="61">
        <f>Helicoil!E64/1000</f>
        <v>1.6300000000000002E-2</v>
      </c>
      <c r="E64" s="61">
        <f>Helicoil!F64/1000</f>
        <v>1.21E-2</v>
      </c>
      <c r="F64" s="61">
        <f>Helicoil!G64/1000</f>
        <v>1.2500000000000001E-2</v>
      </c>
      <c r="G64" s="61">
        <f>Helicoil!H64/1000</f>
        <v>1.022E-2</v>
      </c>
      <c r="H64" s="68">
        <f>Helicoil!I64</f>
        <v>10.41</v>
      </c>
      <c r="I64" s="61">
        <f>Helicoil!J64/1000</f>
        <v>1.025E-2</v>
      </c>
      <c r="J64" s="61">
        <f>Helicoil!K64/1000</f>
        <v>1.95E-2</v>
      </c>
      <c r="K64" s="61">
        <f>Helicoil!L64/1000</f>
        <v>1.1300000000000001E-2</v>
      </c>
      <c r="L64" s="31">
        <f>(Tabla1[[#This Row],[d1_min]]+Tabla1[[#This Row],[d1_max]])/2</f>
        <v>1.23E-2</v>
      </c>
      <c r="M64" s="106">
        <f>(Tabla1[[#This Row],[D1Hc_min]]+Tabla1[[#This Row],[D1Hc_max]]/1000)/2</f>
        <v>1.0315000000000001E-2</v>
      </c>
      <c r="N64" s="31">
        <f>Tabla1[[#This Row],[W]]*1000</f>
        <v>16.3</v>
      </c>
      <c r="X64">
        <v>29.5</v>
      </c>
    </row>
    <row r="65" spans="1:24" x14ac:dyDescent="0.3">
      <c r="A65" s="31">
        <v>10</v>
      </c>
      <c r="B65" s="61" t="s">
        <v>304</v>
      </c>
      <c r="C65" s="61">
        <f>A65*2.5 /1000</f>
        <v>2.5000000000000001E-2</v>
      </c>
      <c r="D65" s="61">
        <f>Helicoil!E65/1000</f>
        <v>2.07E-2</v>
      </c>
      <c r="E65" s="61">
        <f>Helicoil!F65/1000</f>
        <v>1.21E-2</v>
      </c>
      <c r="F65" s="61">
        <f>Helicoil!G65/1000</f>
        <v>1.2500000000000001E-2</v>
      </c>
      <c r="G65" s="61">
        <f>Helicoil!H65/1000</f>
        <v>1.022E-2</v>
      </c>
      <c r="H65" s="68">
        <f>Helicoil!I65</f>
        <v>10.41</v>
      </c>
      <c r="I65" s="61">
        <f>Helicoil!J65/1000</f>
        <v>1.025E-2</v>
      </c>
      <c r="J65" s="61">
        <f>Helicoil!K65/1000</f>
        <v>2.4500000000000001E-2</v>
      </c>
      <c r="K65" s="61">
        <f>Helicoil!L65/1000</f>
        <v>1.1300000000000001E-2</v>
      </c>
      <c r="L65" s="31">
        <f>(Tabla1[[#This Row],[d1_min]]+Tabla1[[#This Row],[d1_max]])/2</f>
        <v>1.23E-2</v>
      </c>
      <c r="M65" s="106">
        <f>(Tabla1[[#This Row],[D1Hc_min]]+Tabla1[[#This Row],[D1Hc_max]]/1000)/2</f>
        <v>1.0315000000000001E-2</v>
      </c>
      <c r="N65" s="31">
        <f>Tabla1[[#This Row],[W]]*1000</f>
        <v>20.7</v>
      </c>
      <c r="X65">
        <v>14.4</v>
      </c>
    </row>
    <row r="66" spans="1:24" ht="15" thickBot="1" x14ac:dyDescent="0.35">
      <c r="A66" s="62">
        <v>10</v>
      </c>
      <c r="B66" s="61" t="s">
        <v>305</v>
      </c>
      <c r="C66" s="61">
        <f>A66*3 /1000</f>
        <v>0.03</v>
      </c>
      <c r="D66" s="61">
        <f>Helicoil!E66/1000</f>
        <v>2.5000000000000001E-2</v>
      </c>
      <c r="E66" s="61">
        <f>Helicoil!F66/1000</f>
        <v>1.21E-2</v>
      </c>
      <c r="F66" s="61">
        <f>Helicoil!G66/1000</f>
        <v>1.2500000000000001E-2</v>
      </c>
      <c r="G66" s="61">
        <f>Helicoil!H66/1000</f>
        <v>1.022E-2</v>
      </c>
      <c r="H66" s="68">
        <f>Helicoil!I66</f>
        <v>10.41</v>
      </c>
      <c r="I66" s="61">
        <f>Helicoil!J66/1000</f>
        <v>1.025E-2</v>
      </c>
      <c r="J66" s="61">
        <f>Helicoil!K66/1000</f>
        <v>2.9499999999999998E-2</v>
      </c>
      <c r="K66" s="61">
        <f>Helicoil!L66/1000</f>
        <v>1.1300000000000001E-2</v>
      </c>
      <c r="L66" s="31">
        <f>(Tabla1[[#This Row],[d1_min]]+Tabla1[[#This Row],[d1_max]])/2</f>
        <v>1.23E-2</v>
      </c>
      <c r="M66" s="106">
        <f>(Tabla1[[#This Row],[D1Hc_min]]+Tabla1[[#This Row],[D1Hc_max]]/1000)/2</f>
        <v>1.0315000000000001E-2</v>
      </c>
      <c r="N66" s="31">
        <f>Tabla1[[#This Row],[W]]*1000</f>
        <v>25</v>
      </c>
      <c r="X66">
        <v>19.399999999999999</v>
      </c>
    </row>
    <row r="67" spans="1:24" x14ac:dyDescent="0.3">
      <c r="A67" s="31">
        <v>10</v>
      </c>
      <c r="B67" s="61" t="s">
        <v>301</v>
      </c>
      <c r="C67" s="31">
        <f t="shared" si="1"/>
        <v>0.01</v>
      </c>
      <c r="D67" s="61">
        <f>Helicoil!E67/1000</f>
        <v>6.0000000000000001E-3</v>
      </c>
      <c r="E67" s="61">
        <f>Helicoil!F67/1000</f>
        <v>1.21E-2</v>
      </c>
      <c r="F67" s="61">
        <f>Helicoil!G67/1000</f>
        <v>1.2500000000000001E-2</v>
      </c>
      <c r="G67" s="61">
        <f>Helicoil!H67/1000</f>
        <v>1.027E-2</v>
      </c>
      <c r="H67" s="68">
        <f>Helicoil!I67</f>
        <v>10.48</v>
      </c>
      <c r="I67" s="61">
        <f>Helicoil!J67/1000</f>
        <v>1.04E-2</v>
      </c>
      <c r="J67" s="61">
        <f>Helicoil!K67/1000</f>
        <v>9.4000000000000004E-3</v>
      </c>
      <c r="K67" s="61">
        <f>Helicoil!L67/1000</f>
        <v>1.1619999999999998E-2</v>
      </c>
      <c r="L67" s="31">
        <f>(Tabla1[[#This Row],[d1_min]]+Tabla1[[#This Row],[d1_max]])/2</f>
        <v>1.23E-2</v>
      </c>
      <c r="M67" s="106">
        <f>(Tabla1[[#This Row],[D1Hc_min]]+Tabla1[[#This Row],[D1Hc_max]]/1000)/2</f>
        <v>1.0374999999999999E-2</v>
      </c>
      <c r="N67" s="31">
        <f>Tabla1[[#This Row],[W]]*1000</f>
        <v>6</v>
      </c>
      <c r="V67" t="s">
        <v>330</v>
      </c>
      <c r="X67">
        <v>24.4</v>
      </c>
    </row>
    <row r="68" spans="1:24" x14ac:dyDescent="0.3">
      <c r="A68" s="31">
        <v>10</v>
      </c>
      <c r="B68" s="61" t="s">
        <v>302</v>
      </c>
      <c r="C68" s="61">
        <f>A68*1.5 /1000</f>
        <v>1.4999999999999999E-2</v>
      </c>
      <c r="D68" s="61">
        <f>Helicoil!E68/1000</f>
        <v>9.6999999999999986E-3</v>
      </c>
      <c r="E68" s="61">
        <f>Helicoil!F68/1000</f>
        <v>1.21E-2</v>
      </c>
      <c r="F68" s="61">
        <f>Helicoil!G68/1000</f>
        <v>1.2500000000000001E-2</v>
      </c>
      <c r="G68" s="61">
        <f>Helicoil!H68/1000</f>
        <v>1.027E-2</v>
      </c>
      <c r="H68" s="68">
        <f>Helicoil!I68</f>
        <v>10.48</v>
      </c>
      <c r="I68" s="61">
        <f>Helicoil!J68/1000</f>
        <v>1.04E-2</v>
      </c>
      <c r="J68" s="61">
        <f>Helicoil!K68/1000</f>
        <v>1.44E-2</v>
      </c>
      <c r="K68" s="61">
        <f>Helicoil!L68/1000</f>
        <v>1.1619999999999998E-2</v>
      </c>
      <c r="L68" s="31">
        <f>(Tabla1[[#This Row],[d1_min]]+Tabla1[[#This Row],[d1_max]])/2</f>
        <v>1.23E-2</v>
      </c>
      <c r="M68" s="106">
        <f>(Tabla1[[#This Row],[D1Hc_min]]+Tabla1[[#This Row],[D1Hc_max]]/1000)/2</f>
        <v>1.0374999999999999E-2</v>
      </c>
      <c r="N68" s="31">
        <f>Tabla1[[#This Row],[W]]*1000</f>
        <v>9.6999999999999993</v>
      </c>
      <c r="V68">
        <v>9.6999999999999993</v>
      </c>
      <c r="X68">
        <v>29.4</v>
      </c>
    </row>
    <row r="69" spans="1:24" x14ac:dyDescent="0.3">
      <c r="A69" s="31">
        <v>10</v>
      </c>
      <c r="B69" s="61" t="s">
        <v>303</v>
      </c>
      <c r="C69" s="61">
        <f>A69*2 /1000</f>
        <v>0.02</v>
      </c>
      <c r="D69" s="61">
        <f>Helicoil!E69/1000</f>
        <v>1.3099999999999999E-2</v>
      </c>
      <c r="E69" s="61">
        <f>Helicoil!F69/1000</f>
        <v>1.21E-2</v>
      </c>
      <c r="F69" s="61">
        <f>Helicoil!G69/1000</f>
        <v>1.2500000000000001E-2</v>
      </c>
      <c r="G69" s="61">
        <f>Helicoil!H69/1000</f>
        <v>1.027E-2</v>
      </c>
      <c r="H69" s="68">
        <f>Helicoil!I69</f>
        <v>10.48</v>
      </c>
      <c r="I69" s="61">
        <f>Helicoil!J69/1000</f>
        <v>1.04E-2</v>
      </c>
      <c r="J69" s="61">
        <f>Helicoil!K69/1000</f>
        <v>1.9399999999999997E-2</v>
      </c>
      <c r="K69" s="61">
        <f>Helicoil!L69/1000</f>
        <v>1.1619999999999998E-2</v>
      </c>
      <c r="L69" s="31">
        <f>(Tabla1[[#This Row],[d1_min]]+Tabla1[[#This Row],[d1_max]])/2</f>
        <v>1.23E-2</v>
      </c>
      <c r="M69" s="106">
        <f>(Tabla1[[#This Row],[D1Hc_min]]+Tabla1[[#This Row],[D1Hc_max]]/1000)/2</f>
        <v>1.0374999999999999E-2</v>
      </c>
      <c r="N69" s="31">
        <f>Tabla1[[#This Row],[W]]*1000</f>
        <v>13.1</v>
      </c>
      <c r="V69">
        <v>141</v>
      </c>
      <c r="X69">
        <v>10.199999999999999</v>
      </c>
    </row>
    <row r="70" spans="1:24" x14ac:dyDescent="0.3">
      <c r="A70" s="31">
        <v>10</v>
      </c>
      <c r="B70" s="61" t="s">
        <v>304</v>
      </c>
      <c r="C70" s="61">
        <f>A70*2.5 /1000</f>
        <v>2.5000000000000001E-2</v>
      </c>
      <c r="D70" s="61">
        <f>Helicoil!E70/1000</f>
        <v>1.6899999999999998E-2</v>
      </c>
      <c r="E70" s="61">
        <f>Helicoil!F70/1000</f>
        <v>1.21E-2</v>
      </c>
      <c r="F70" s="61">
        <f>Helicoil!G70/1000</f>
        <v>1.2500000000000001E-2</v>
      </c>
      <c r="G70" s="61">
        <f>Helicoil!H70/1000</f>
        <v>1.027E-2</v>
      </c>
      <c r="H70" s="68">
        <f>Helicoil!I70</f>
        <v>10.48</v>
      </c>
      <c r="I70" s="61">
        <f>Helicoil!J70/1000</f>
        <v>1.04E-2</v>
      </c>
      <c r="J70" s="61">
        <f>Helicoil!K70/1000</f>
        <v>2.4399999999999998E-2</v>
      </c>
      <c r="K70" s="61">
        <f>Helicoil!L70/1000</f>
        <v>1.1619999999999998E-2</v>
      </c>
      <c r="L70" s="31">
        <f>(Tabla1[[#This Row],[d1_min]]+Tabla1[[#This Row],[d1_max]])/2</f>
        <v>1.23E-2</v>
      </c>
      <c r="M70" s="106">
        <f>(Tabla1[[#This Row],[D1Hc_min]]+Tabla1[[#This Row],[D1Hc_max]]/1000)/2</f>
        <v>1.0374999999999999E-2</v>
      </c>
      <c r="N70" s="31">
        <f>Tabla1[[#This Row],[W]]*1000</f>
        <v>16.899999999999999</v>
      </c>
      <c r="V70">
        <v>16.899999999999999</v>
      </c>
      <c r="X70">
        <v>21.2</v>
      </c>
    </row>
    <row r="71" spans="1:24" ht="15" thickBot="1" x14ac:dyDescent="0.35">
      <c r="A71" s="62">
        <v>10</v>
      </c>
      <c r="B71" s="61" t="s">
        <v>305</v>
      </c>
      <c r="C71" s="61">
        <f>A71*3 /1000</f>
        <v>0.03</v>
      </c>
      <c r="D71" s="61">
        <f>Helicoil!E71/1000</f>
        <v>2.01E-2</v>
      </c>
      <c r="E71" s="61">
        <f>Helicoil!F71/1000</f>
        <v>1.21E-2</v>
      </c>
      <c r="F71" s="61">
        <f>Helicoil!G71/1000</f>
        <v>1.2500000000000001E-2</v>
      </c>
      <c r="G71" s="61">
        <f>Helicoil!H71/1000</f>
        <v>1.027E-2</v>
      </c>
      <c r="H71" s="68">
        <f>Helicoil!I71</f>
        <v>10.48</v>
      </c>
      <c r="I71" s="61">
        <f>Helicoil!J71/1000</f>
        <v>1.04E-2</v>
      </c>
      <c r="J71" s="61">
        <f>Helicoil!K71/1000</f>
        <v>2.9399999999999999E-2</v>
      </c>
      <c r="K71" s="61">
        <f>Helicoil!L71/1000</f>
        <v>1.1619999999999998E-2</v>
      </c>
      <c r="L71" s="31">
        <f>(Tabla1[[#This Row],[d1_min]]+Tabla1[[#This Row],[d1_max]])/2</f>
        <v>1.23E-2</v>
      </c>
      <c r="M71" s="106">
        <f>(Tabla1[[#This Row],[D1Hc_min]]+Tabla1[[#This Row],[D1Hc_max]]/1000)/2</f>
        <v>1.0374999999999999E-2</v>
      </c>
      <c r="N71" s="31">
        <f>Tabla1[[#This Row],[W]]*1000</f>
        <v>20.100000000000001</v>
      </c>
      <c r="V71">
        <v>46</v>
      </c>
      <c r="X71">
        <v>26.7</v>
      </c>
    </row>
    <row r="72" spans="1:24" x14ac:dyDescent="0.3">
      <c r="A72" s="31">
        <v>11</v>
      </c>
      <c r="B72" s="61" t="s">
        <v>301</v>
      </c>
      <c r="C72" s="31">
        <f t="shared" si="1"/>
        <v>1.0999999999999999E-2</v>
      </c>
      <c r="D72" s="61">
        <f>Helicoil!E72/1000</f>
        <v>5.5999999999999999E-3</v>
      </c>
      <c r="E72" s="61">
        <f>Helicoil!F72/1000</f>
        <v>1.3099999999999999E-2</v>
      </c>
      <c r="F72" s="61">
        <f>Helicoil!G72/1000</f>
        <v>1.35E-2</v>
      </c>
      <c r="G72" s="61">
        <f>Helicoil!H72/1000</f>
        <v>1.133E-2</v>
      </c>
      <c r="H72" s="68">
        <f>Helicoil!I72</f>
        <v>11.56</v>
      </c>
      <c r="I72" s="61">
        <f>Helicoil!J72/1000</f>
        <v>1.15E-2</v>
      </c>
      <c r="J72" s="61">
        <f>Helicoil!K72/1000</f>
        <v>1.0199999999999999E-2</v>
      </c>
      <c r="K72" s="61">
        <f>Helicoil!L72/1000</f>
        <v>1.295E-2</v>
      </c>
      <c r="L72" s="31">
        <f>(Tabla1[[#This Row],[d1_min]]+Tabla1[[#This Row],[d1_max]])/2</f>
        <v>1.3299999999999999E-2</v>
      </c>
      <c r="M72" s="106">
        <f>(Tabla1[[#This Row],[D1Hc_min]]+Tabla1[[#This Row],[D1Hc_max]]/1000)/2</f>
        <v>1.1445E-2</v>
      </c>
      <c r="N72" s="31">
        <f>Tabla1[[#This Row],[W]]*1000</f>
        <v>5.6</v>
      </c>
      <c r="V72">
        <v>9</v>
      </c>
      <c r="X72">
        <v>32.200000000000003</v>
      </c>
    </row>
    <row r="73" spans="1:24" x14ac:dyDescent="0.3">
      <c r="A73" s="31">
        <v>11</v>
      </c>
      <c r="B73" s="61" t="s">
        <v>302</v>
      </c>
      <c r="C73" s="61">
        <f>A73*1.5 /1000</f>
        <v>1.6500000000000001E-2</v>
      </c>
      <c r="D73" s="61">
        <f>Helicoil!E73/1000</f>
        <v>8.9999999999999993E-3</v>
      </c>
      <c r="E73" s="61">
        <f>Helicoil!F73/1000</f>
        <v>1.3099999999999999E-2</v>
      </c>
      <c r="F73" s="61">
        <f>Helicoil!G73/1000</f>
        <v>1.35E-2</v>
      </c>
      <c r="G73" s="61">
        <f>Helicoil!H73/1000</f>
        <v>1.133E-2</v>
      </c>
      <c r="H73" s="68">
        <f>Helicoil!I73</f>
        <v>11.56</v>
      </c>
      <c r="I73" s="61">
        <f>Helicoil!J73/1000</f>
        <v>1.15E-2</v>
      </c>
      <c r="J73" s="61">
        <f>Helicoil!K73/1000</f>
        <v>1.5699999999999999E-2</v>
      </c>
      <c r="K73" s="61">
        <f>Helicoil!L73/1000</f>
        <v>1.295E-2</v>
      </c>
      <c r="L73" s="31">
        <f>(Tabla1[[#This Row],[d1_min]]+Tabla1[[#This Row],[d1_max]])/2</f>
        <v>1.3299999999999999E-2</v>
      </c>
      <c r="M73" s="106">
        <f>(Tabla1[[#This Row],[D1Hc_min]]+Tabla1[[#This Row],[D1Hc_max]]/1000)/2</f>
        <v>1.1445E-2</v>
      </c>
      <c r="N73" s="31">
        <f>Tabla1[[#This Row],[W]]*1000</f>
        <v>9</v>
      </c>
      <c r="V73">
        <v>143</v>
      </c>
    </row>
    <row r="74" spans="1:24" x14ac:dyDescent="0.3">
      <c r="A74" s="31">
        <v>11</v>
      </c>
      <c r="B74" s="61" t="s">
        <v>303</v>
      </c>
      <c r="C74" s="61">
        <f>A74*2 /1000</f>
        <v>2.1999999999999999E-2</v>
      </c>
      <c r="D74" s="61">
        <f>Helicoil!E74/1000</f>
        <v>1.23E-2</v>
      </c>
      <c r="E74" s="61">
        <f>Helicoil!F74/1000</f>
        <v>1.3099999999999999E-2</v>
      </c>
      <c r="F74" s="61">
        <f>Helicoil!G74/1000</f>
        <v>1.35E-2</v>
      </c>
      <c r="G74" s="61">
        <f>Helicoil!H74/1000</f>
        <v>1.133E-2</v>
      </c>
      <c r="H74" s="68">
        <f>Helicoil!I74</f>
        <v>11.56</v>
      </c>
      <c r="I74" s="61">
        <f>Helicoil!J74/1000</f>
        <v>1.15E-2</v>
      </c>
      <c r="J74" s="61">
        <f>Helicoil!K74/1000</f>
        <v>2.12E-2</v>
      </c>
      <c r="K74" s="61">
        <f>Helicoil!L74/1000</f>
        <v>1.295E-2</v>
      </c>
      <c r="L74" s="31">
        <f>(Tabla1[[#This Row],[d1_min]]+Tabla1[[#This Row],[d1_max]])/2</f>
        <v>1.3299999999999999E-2</v>
      </c>
      <c r="M74" s="106">
        <f>(Tabla1[[#This Row],[D1Hc_min]]+Tabla1[[#This Row],[D1Hc_max]]/1000)/2</f>
        <v>1.1445E-2</v>
      </c>
      <c r="N74" s="31">
        <f>Tabla1[[#This Row],[W]]*1000</f>
        <v>12.3</v>
      </c>
      <c r="V74" t="s">
        <v>331</v>
      </c>
    </row>
    <row r="75" spans="1:24" x14ac:dyDescent="0.3">
      <c r="A75" s="31">
        <v>11</v>
      </c>
      <c r="B75" s="61" t="s">
        <v>304</v>
      </c>
      <c r="C75" s="61">
        <f>A75*2.5 /1000</f>
        <v>2.75E-2</v>
      </c>
      <c r="D75" s="61">
        <f>Helicoil!E75/1000</f>
        <v>1.5699999999999999E-2</v>
      </c>
      <c r="E75" s="61">
        <f>Helicoil!F75/1000</f>
        <v>1.3099999999999999E-2</v>
      </c>
      <c r="F75" s="61">
        <f>Helicoil!G75/1000</f>
        <v>1.35E-2</v>
      </c>
      <c r="G75" s="61">
        <f>Helicoil!H75/1000</f>
        <v>1.133E-2</v>
      </c>
      <c r="H75" s="68">
        <f>Helicoil!I75</f>
        <v>11.56</v>
      </c>
      <c r="I75" s="61">
        <f>Helicoil!J75/1000</f>
        <v>1.15E-2</v>
      </c>
      <c r="J75" s="61">
        <f>Helicoil!K75/1000</f>
        <v>2.6699999999999998E-2</v>
      </c>
      <c r="K75" s="61">
        <f>Helicoil!L75/1000</f>
        <v>1.295E-2</v>
      </c>
      <c r="L75" s="31">
        <f>(Tabla1[[#This Row],[d1_min]]+Tabla1[[#This Row],[d1_max]])/2</f>
        <v>1.3299999999999999E-2</v>
      </c>
      <c r="M75" s="106">
        <f>(Tabla1[[#This Row],[D1Hc_min]]+Tabla1[[#This Row],[D1Hc_max]]/1000)/2</f>
        <v>1.1445E-2</v>
      </c>
      <c r="N75" s="31">
        <f>Tabla1[[#This Row],[W]]*1000</f>
        <v>15.7</v>
      </c>
      <c r="V75" t="s">
        <v>332</v>
      </c>
    </row>
    <row r="76" spans="1:24" ht="15" thickBot="1" x14ac:dyDescent="0.35">
      <c r="A76" s="62">
        <v>11</v>
      </c>
      <c r="B76" s="61" t="s">
        <v>305</v>
      </c>
      <c r="C76" s="61">
        <f>A76*3 /1000</f>
        <v>3.3000000000000002E-2</v>
      </c>
      <c r="D76" s="61">
        <f>Helicoil!E76/1000</f>
        <v>1.9100000000000002E-2</v>
      </c>
      <c r="E76" s="61">
        <f>Helicoil!F76/1000</f>
        <v>1.3099999999999999E-2</v>
      </c>
      <c r="F76" s="61">
        <f>Helicoil!G76/1000</f>
        <v>1.35E-2</v>
      </c>
      <c r="G76" s="61">
        <f>Helicoil!H76/1000</f>
        <v>1.133E-2</v>
      </c>
      <c r="H76" s="68">
        <f>Helicoil!I76</f>
        <v>11.56</v>
      </c>
      <c r="I76" s="61">
        <f>Helicoil!J76/1000</f>
        <v>1.15E-2</v>
      </c>
      <c r="J76" s="61">
        <f>Helicoil!K76/1000</f>
        <v>3.2199999999999999E-2</v>
      </c>
      <c r="K76" s="61">
        <f>Helicoil!L76/1000</f>
        <v>1.295E-2</v>
      </c>
      <c r="L76" s="31">
        <f>(Tabla1[[#This Row],[d1_min]]+Tabla1[[#This Row],[d1_max]])/2</f>
        <v>1.3299999999999999E-2</v>
      </c>
      <c r="M76" s="106">
        <f>(Tabla1[[#This Row],[D1Hc_min]]+Tabla1[[#This Row],[D1Hc_max]]/1000)/2</f>
        <v>1.1445E-2</v>
      </c>
      <c r="N76" s="31">
        <f>Tabla1[[#This Row],[W]]*1000</f>
        <v>19.100000000000001</v>
      </c>
      <c r="V76">
        <v>8.4</v>
      </c>
    </row>
    <row r="77" spans="1:24" x14ac:dyDescent="0.3">
      <c r="A77" s="31">
        <v>12</v>
      </c>
      <c r="B77" s="61" t="s">
        <v>301</v>
      </c>
      <c r="C77" s="31">
        <f t="shared" si="1"/>
        <v>1.2E-2</v>
      </c>
      <c r="D77" s="61">
        <f>Helicoil!E77/1000</f>
        <v>5.1999999999999998E-3</v>
      </c>
      <c r="E77" s="61">
        <f>Helicoil!F77/1000</f>
        <v>1.44E-2</v>
      </c>
      <c r="F77" s="61">
        <f>Helicoil!G77/1000</f>
        <v>1.4800000000000001E-2</v>
      </c>
      <c r="G77" s="61">
        <f>Helicoil!H77/1000</f>
        <v>1.238E-2</v>
      </c>
      <c r="H77" s="68">
        <f>Helicoil!I77</f>
        <v>12.64</v>
      </c>
      <c r="I77" s="61">
        <f>Helicoil!J77/1000</f>
        <v>1.2500000000000001E-2</v>
      </c>
      <c r="J77" s="61">
        <f>Helicoil!K77/1000</f>
        <v>1.11E-2</v>
      </c>
      <c r="K77" s="61">
        <f>Helicoil!L77/1000</f>
        <v>1.427E-2</v>
      </c>
      <c r="L77" s="31">
        <f>(Tabla1[[#This Row],[d1_min]]+Tabla1[[#This Row],[d1_max]])/2</f>
        <v>1.46E-2</v>
      </c>
      <c r="M77" s="106">
        <f>(Tabla1[[#This Row],[D1Hc_min]]+Tabla1[[#This Row],[D1Hc_max]]/1000)/2</f>
        <v>1.251E-2</v>
      </c>
      <c r="N77" s="31">
        <f>Tabla1[[#This Row],[W]]*1000</f>
        <v>5.2</v>
      </c>
      <c r="V77" t="s">
        <v>333</v>
      </c>
    </row>
    <row r="78" spans="1:24" x14ac:dyDescent="0.3">
      <c r="A78" s="31">
        <v>12</v>
      </c>
      <c r="B78" s="61" t="s">
        <v>302</v>
      </c>
      <c r="C78" s="61">
        <f>A78*1.5 /1000</f>
        <v>1.7999999999999999E-2</v>
      </c>
      <c r="D78" s="61">
        <f>Helicoil!E78/1000</f>
        <v>8.4000000000000012E-3</v>
      </c>
      <c r="E78" s="61">
        <f>Helicoil!F78/1000</f>
        <v>1.44E-2</v>
      </c>
      <c r="F78" s="61">
        <f>Helicoil!G78/1000</f>
        <v>1.4800000000000001E-2</v>
      </c>
      <c r="G78" s="61">
        <f>Helicoil!H78/1000</f>
        <v>1.238E-2</v>
      </c>
      <c r="H78" s="68">
        <f>Helicoil!I78</f>
        <v>12.64</v>
      </c>
      <c r="I78" s="61">
        <f>Helicoil!J78/1000</f>
        <v>1.2500000000000001E-2</v>
      </c>
      <c r="J78" s="61">
        <f>Helicoil!K78/1000</f>
        <v>1.7100000000000001E-2</v>
      </c>
      <c r="K78" s="61">
        <f>Helicoil!L78/1000</f>
        <v>1.427E-2</v>
      </c>
      <c r="L78" s="31">
        <f>(Tabla1[[#This Row],[d1_min]]+Tabla1[[#This Row],[d1_max]])/2</f>
        <v>1.46E-2</v>
      </c>
      <c r="M78" s="106">
        <f>(Tabla1[[#This Row],[D1Hc_min]]+Tabla1[[#This Row],[D1Hc_max]]/1000)/2</f>
        <v>1.251E-2</v>
      </c>
      <c r="N78" s="31">
        <f>Tabla1[[#This Row],[W]]*1000</f>
        <v>8.4</v>
      </c>
      <c r="V78">
        <v>14.7</v>
      </c>
    </row>
    <row r="79" spans="1:24" x14ac:dyDescent="0.3">
      <c r="A79" s="31">
        <v>12</v>
      </c>
      <c r="B79" s="61" t="s">
        <v>303</v>
      </c>
      <c r="C79" s="61">
        <f>A79*2 /1000</f>
        <v>2.4E-2</v>
      </c>
      <c r="D79" s="61">
        <f>Helicoil!E79/1000</f>
        <v>1.1699999999999999E-2</v>
      </c>
      <c r="E79" s="61">
        <f>Helicoil!F79/1000</f>
        <v>1.44E-2</v>
      </c>
      <c r="F79" s="61">
        <f>Helicoil!G79/1000</f>
        <v>1.4800000000000001E-2</v>
      </c>
      <c r="G79" s="61">
        <f>Helicoil!H79/1000</f>
        <v>1.238E-2</v>
      </c>
      <c r="H79" s="68">
        <f>Helicoil!I79</f>
        <v>12.64</v>
      </c>
      <c r="I79" s="61">
        <f>Helicoil!J79/1000</f>
        <v>1.2500000000000001E-2</v>
      </c>
      <c r="J79" s="61">
        <f>Helicoil!K79/1000</f>
        <v>2.3100000000000002E-2</v>
      </c>
      <c r="K79" s="61">
        <f>Helicoil!L79/1000</f>
        <v>1.427E-2</v>
      </c>
      <c r="L79" s="31">
        <f>(Tabla1[[#This Row],[d1_min]]+Tabla1[[#This Row],[d1_max]])/2</f>
        <v>1.46E-2</v>
      </c>
      <c r="M79" s="106">
        <f>(Tabla1[[#This Row],[D1Hc_min]]+Tabla1[[#This Row],[D1Hc_max]]/1000)/2</f>
        <v>1.251E-2</v>
      </c>
      <c r="N79" s="31">
        <f>Tabla1[[#This Row],[W]]*1000</f>
        <v>11.7</v>
      </c>
      <c r="V79" t="s">
        <v>334</v>
      </c>
    </row>
    <row r="80" spans="1:24" x14ac:dyDescent="0.3">
      <c r="A80" s="31">
        <v>12</v>
      </c>
      <c r="B80" s="61" t="s">
        <v>304</v>
      </c>
      <c r="C80" s="61">
        <f>A80*2.5 /1000</f>
        <v>0.03</v>
      </c>
      <c r="D80" s="61">
        <f>Helicoil!E80/1000</f>
        <v>1.47E-2</v>
      </c>
      <c r="E80" s="61">
        <f>Helicoil!F80/1000</f>
        <v>1.44E-2</v>
      </c>
      <c r="F80" s="61">
        <f>Helicoil!G80/1000</f>
        <v>1.4800000000000001E-2</v>
      </c>
      <c r="G80" s="61">
        <f>Helicoil!H80/1000</f>
        <v>1.238E-2</v>
      </c>
      <c r="H80" s="68">
        <f>Helicoil!I80</f>
        <v>12.64</v>
      </c>
      <c r="I80" s="61">
        <f>Helicoil!J80/1000</f>
        <v>1.2500000000000001E-2</v>
      </c>
      <c r="J80" s="61">
        <f>Helicoil!K80/1000</f>
        <v>2.9100000000000001E-2</v>
      </c>
      <c r="K80" s="61">
        <f>Helicoil!L80/1000</f>
        <v>1.427E-2</v>
      </c>
      <c r="L80" s="31">
        <f>(Tabla1[[#This Row],[d1_min]]+Tabla1[[#This Row],[d1_max]])/2</f>
        <v>1.46E-2</v>
      </c>
      <c r="M80" s="106">
        <f>(Tabla1[[#This Row],[D1Hc_min]]+Tabla1[[#This Row],[D1Hc_max]]/1000)/2</f>
        <v>1.251E-2</v>
      </c>
      <c r="N80" s="31">
        <f>Tabla1[[#This Row],[W]]*1000</f>
        <v>14.7</v>
      </c>
      <c r="V80">
        <v>14.5</v>
      </c>
    </row>
    <row r="81" spans="1:22" x14ac:dyDescent="0.3">
      <c r="A81" s="31">
        <v>12</v>
      </c>
      <c r="B81" s="61" t="s">
        <v>305</v>
      </c>
      <c r="C81" s="61">
        <f>A81*3 /1000</f>
        <v>3.5999999999999997E-2</v>
      </c>
      <c r="D81" s="61">
        <f>Helicoil!E81/1000</f>
        <v>1.7999999999999999E-2</v>
      </c>
      <c r="E81" s="61">
        <f>Helicoil!F81/1000</f>
        <v>1.44E-2</v>
      </c>
      <c r="F81" s="61">
        <f>Helicoil!G81/1000</f>
        <v>1.4800000000000001E-2</v>
      </c>
      <c r="G81" s="61">
        <f>Helicoil!H81/1000</f>
        <v>1.238E-2</v>
      </c>
      <c r="H81" s="68">
        <f>Helicoil!I81</f>
        <v>12.64</v>
      </c>
      <c r="I81" s="61">
        <f>Helicoil!J81/1000</f>
        <v>1.2500000000000001E-2</v>
      </c>
      <c r="J81" s="61">
        <f>Helicoil!K81/1000</f>
        <v>3.5099999999999999E-2</v>
      </c>
      <c r="K81" s="61">
        <f>Helicoil!L81/1000</f>
        <v>1.427E-2</v>
      </c>
      <c r="L81" s="31">
        <f>(Tabla1[[#This Row],[d1_min]]+Tabla1[[#This Row],[d1_max]])/2</f>
        <v>1.46E-2</v>
      </c>
      <c r="M81" s="106">
        <f>(Tabla1[[#This Row],[D1Hc_min]]+Tabla1[[#This Row],[D1Hc_max]]/1000)/2</f>
        <v>1.251E-2</v>
      </c>
      <c r="N81" s="31">
        <f>Tabla1[[#This Row],[W]]*1000</f>
        <v>18</v>
      </c>
      <c r="V81" t="s">
        <v>335</v>
      </c>
    </row>
    <row r="82" spans="1:22" x14ac:dyDescent="0.3">
      <c r="A82" s="31">
        <v>12</v>
      </c>
      <c r="B82" s="61" t="s">
        <v>301</v>
      </c>
      <c r="C82" s="31">
        <f t="shared" si="1"/>
        <v>1.2E-2</v>
      </c>
      <c r="D82" s="61">
        <f>Helicoil!E82/1000</f>
        <v>9.300000000000001E-3</v>
      </c>
      <c r="E82" s="61">
        <f>Helicoil!F82/1000</f>
        <v>1.44E-2</v>
      </c>
      <c r="F82" s="61">
        <f>Helicoil!G82/1000</f>
        <v>1.4800000000000001E-2</v>
      </c>
      <c r="G82" s="61">
        <f>Helicoil!H82/1000</f>
        <v>1.222E-2</v>
      </c>
      <c r="H82" s="68">
        <f>Helicoil!I82</f>
        <v>12.41</v>
      </c>
      <c r="I82" s="61">
        <f>Helicoil!J82/1000</f>
        <v>1.225E-2</v>
      </c>
      <c r="J82" s="61">
        <f>Helicoil!K82/1000</f>
        <v>1.15E-2</v>
      </c>
      <c r="K82" s="61">
        <f>Helicoil!L82/1000</f>
        <v>1.3300000000000001E-2</v>
      </c>
      <c r="L82" s="31">
        <f>(Tabla1[[#This Row],[d1_min]]+Tabla1[[#This Row],[d1_max]])/2</f>
        <v>1.46E-2</v>
      </c>
      <c r="M82" s="106">
        <f>(Tabla1[[#This Row],[D1Hc_min]]+Tabla1[[#This Row],[D1Hc_max]]/1000)/2</f>
        <v>1.2315E-2</v>
      </c>
      <c r="N82" s="31">
        <f>Tabla1[[#This Row],[W]]*1000</f>
        <v>9.3000000000000007</v>
      </c>
      <c r="V82">
        <v>24.8</v>
      </c>
    </row>
    <row r="83" spans="1:22" x14ac:dyDescent="0.3">
      <c r="A83" s="31">
        <v>12</v>
      </c>
      <c r="B83" s="61" t="s">
        <v>302</v>
      </c>
      <c r="C83" s="61">
        <f>A83*1.5 /1000</f>
        <v>1.7999999999999999E-2</v>
      </c>
      <c r="D83" s="61">
        <f>Helicoil!E83/1000</f>
        <v>1.4500000000000001E-2</v>
      </c>
      <c r="E83" s="61">
        <f>Helicoil!F83/1000</f>
        <v>1.44E-2</v>
      </c>
      <c r="F83" s="61">
        <f>Helicoil!G83/1000</f>
        <v>1.4800000000000001E-2</v>
      </c>
      <c r="G83" s="61">
        <f>Helicoil!H83/1000</f>
        <v>1.222E-2</v>
      </c>
      <c r="H83" s="68">
        <f>Helicoil!I83</f>
        <v>12.41</v>
      </c>
      <c r="I83" s="61">
        <f>Helicoil!J83/1000</f>
        <v>1.225E-2</v>
      </c>
      <c r="J83" s="61">
        <f>Helicoil!K83/1000</f>
        <v>1.7500000000000002E-2</v>
      </c>
      <c r="K83" s="61">
        <f>Helicoil!L83/1000</f>
        <v>1.3300000000000001E-2</v>
      </c>
      <c r="L83" s="31">
        <f>(Tabla1[[#This Row],[d1_min]]+Tabla1[[#This Row],[d1_max]])/2</f>
        <v>1.46E-2</v>
      </c>
      <c r="M83" s="106">
        <f>(Tabla1[[#This Row],[D1Hc_min]]+Tabla1[[#This Row],[D1Hc_max]]/1000)/2</f>
        <v>1.2315E-2</v>
      </c>
      <c r="N83" s="31">
        <f>Tabla1[[#This Row],[W]]*1000</f>
        <v>14.5</v>
      </c>
      <c r="V83" t="s">
        <v>336</v>
      </c>
    </row>
    <row r="84" spans="1:22" x14ac:dyDescent="0.3">
      <c r="A84" s="31">
        <v>12</v>
      </c>
      <c r="B84" s="61" t="s">
        <v>303</v>
      </c>
      <c r="C84" s="61">
        <f>A84*2 /1000</f>
        <v>2.4E-2</v>
      </c>
      <c r="D84" s="61">
        <f>Helicoil!E84/1000</f>
        <v>1.95E-2</v>
      </c>
      <c r="E84" s="61">
        <f>Helicoil!F84/1000</f>
        <v>1.44E-2</v>
      </c>
      <c r="F84" s="61">
        <f>Helicoil!G84/1000</f>
        <v>1.4800000000000001E-2</v>
      </c>
      <c r="G84" s="61">
        <f>Helicoil!H84/1000</f>
        <v>1.222E-2</v>
      </c>
      <c r="H84" s="68">
        <f>Helicoil!I84</f>
        <v>12.41</v>
      </c>
      <c r="I84" s="61">
        <f>Helicoil!J84/1000</f>
        <v>1.225E-2</v>
      </c>
      <c r="J84" s="61">
        <f>Helicoil!K84/1000</f>
        <v>2.35E-2</v>
      </c>
      <c r="K84" s="61">
        <f>Helicoil!L84/1000</f>
        <v>1.3300000000000001E-2</v>
      </c>
      <c r="L84" s="31">
        <f>(Tabla1[[#This Row],[d1_min]]+Tabla1[[#This Row],[d1_max]])/2</f>
        <v>1.46E-2</v>
      </c>
      <c r="M84" s="106">
        <f>(Tabla1[[#This Row],[D1Hc_min]]+Tabla1[[#This Row],[D1Hc_max]]/1000)/2</f>
        <v>1.2315E-2</v>
      </c>
      <c r="N84" s="31">
        <f>Tabla1[[#This Row],[W]]*1000</f>
        <v>19.5</v>
      </c>
      <c r="V84">
        <v>11.6</v>
      </c>
    </row>
    <row r="85" spans="1:22" x14ac:dyDescent="0.3">
      <c r="A85" s="31">
        <v>12</v>
      </c>
      <c r="B85" s="61" t="s">
        <v>304</v>
      </c>
      <c r="C85" s="61">
        <f>A85*2.5 /1000</f>
        <v>0.03</v>
      </c>
      <c r="D85" s="61">
        <f>Helicoil!E85/1000</f>
        <v>2.4799999999999999E-2</v>
      </c>
      <c r="E85" s="61">
        <f>Helicoil!F85/1000</f>
        <v>1.44E-2</v>
      </c>
      <c r="F85" s="61">
        <f>Helicoil!G85/1000</f>
        <v>1.4800000000000001E-2</v>
      </c>
      <c r="G85" s="61">
        <f>Helicoil!H85/1000</f>
        <v>1.222E-2</v>
      </c>
      <c r="H85" s="68">
        <f>Helicoil!I85</f>
        <v>12.41</v>
      </c>
      <c r="I85" s="61">
        <f>Helicoil!J85/1000</f>
        <v>1.225E-2</v>
      </c>
      <c r="J85" s="61">
        <f>Helicoil!K85/1000</f>
        <v>2.9499999999999998E-2</v>
      </c>
      <c r="K85" s="61">
        <f>Helicoil!L85/1000</f>
        <v>1.3300000000000001E-2</v>
      </c>
      <c r="L85" s="31">
        <f>(Tabla1[[#This Row],[d1_min]]+Tabla1[[#This Row],[d1_max]])/2</f>
        <v>1.46E-2</v>
      </c>
      <c r="M85" s="106">
        <f>(Tabla1[[#This Row],[D1Hc_min]]+Tabla1[[#This Row],[D1Hc_max]]/1000)/2</f>
        <v>1.2315E-2</v>
      </c>
      <c r="N85" s="31">
        <f>Tabla1[[#This Row],[W]]*1000</f>
        <v>24.8</v>
      </c>
      <c r="V85" t="s">
        <v>337</v>
      </c>
    </row>
    <row r="86" spans="1:22" x14ac:dyDescent="0.3">
      <c r="A86" s="31">
        <v>12</v>
      </c>
      <c r="B86" s="61" t="s">
        <v>305</v>
      </c>
      <c r="C86" s="61">
        <f>A86*3 /1000</f>
        <v>3.5999999999999997E-2</v>
      </c>
      <c r="D86" s="61">
        <f>Helicoil!E86/1000</f>
        <v>0.03</v>
      </c>
      <c r="E86" s="61">
        <f>Helicoil!F86/1000</f>
        <v>1.44E-2</v>
      </c>
      <c r="F86" s="61">
        <f>Helicoil!G86/1000</f>
        <v>1.4800000000000001E-2</v>
      </c>
      <c r="G86" s="61">
        <f>Helicoil!H86/1000</f>
        <v>1.222E-2</v>
      </c>
      <c r="H86" s="68">
        <f>Helicoil!I86</f>
        <v>12.41</v>
      </c>
      <c r="I86" s="61">
        <f>Helicoil!J86/1000</f>
        <v>1.225E-2</v>
      </c>
      <c r="J86" s="61">
        <f>Helicoil!K86/1000</f>
        <v>3.5499999999999997E-2</v>
      </c>
      <c r="K86" s="61">
        <f>Helicoil!L86/1000</f>
        <v>1.3300000000000001E-2</v>
      </c>
      <c r="L86" s="31">
        <f>(Tabla1[[#This Row],[d1_min]]+Tabla1[[#This Row],[d1_max]])/2</f>
        <v>1.46E-2</v>
      </c>
      <c r="M86" s="106">
        <f>(Tabla1[[#This Row],[D1Hc_min]]+Tabla1[[#This Row],[D1Hc_max]]/1000)/2</f>
        <v>1.2315E-2</v>
      </c>
      <c r="N86" s="31">
        <f>Tabla1[[#This Row],[W]]*1000</f>
        <v>30</v>
      </c>
      <c r="V86">
        <v>20</v>
      </c>
    </row>
    <row r="87" spans="1:22" x14ac:dyDescent="0.3">
      <c r="A87" s="31">
        <v>12</v>
      </c>
      <c r="B87" s="61" t="s">
        <v>301</v>
      </c>
      <c r="C87" s="31">
        <f t="shared" si="1"/>
        <v>1.2E-2</v>
      </c>
      <c r="D87" s="61">
        <f>Helicoil!E87/1000</f>
        <v>7.4000000000000003E-3</v>
      </c>
      <c r="E87" s="61">
        <f>Helicoil!F87/1000</f>
        <v>1.44E-2</v>
      </c>
      <c r="F87" s="61">
        <f>Helicoil!G87/1000</f>
        <v>1.4800000000000001E-2</v>
      </c>
      <c r="G87" s="61">
        <f>Helicoil!H87/1000</f>
        <v>1.227E-2</v>
      </c>
      <c r="H87" s="68">
        <f>Helicoil!I87</f>
        <v>12.48</v>
      </c>
      <c r="I87" s="61">
        <f>Helicoil!J87/1000</f>
        <v>1.225E-2</v>
      </c>
      <c r="J87" s="61">
        <f>Helicoil!K87/1000</f>
        <v>1.14E-2</v>
      </c>
      <c r="K87" s="61">
        <f>Helicoil!L87/1000</f>
        <v>1.3619999999999998E-2</v>
      </c>
      <c r="L87" s="31">
        <f>(Tabla1[[#This Row],[d1_min]]+Tabla1[[#This Row],[d1_max]])/2</f>
        <v>1.46E-2</v>
      </c>
      <c r="M87" s="106">
        <f>(Tabla1[[#This Row],[D1Hc_min]]+Tabla1[[#This Row],[D1Hc_max]]/1000)/2</f>
        <v>1.2375000000000001E-2</v>
      </c>
      <c r="N87" s="31">
        <f>Tabla1[[#This Row],[W]]*1000</f>
        <v>7.4</v>
      </c>
      <c r="V87" t="s">
        <v>338</v>
      </c>
    </row>
    <row r="88" spans="1:22" x14ac:dyDescent="0.3">
      <c r="A88" s="31">
        <v>12</v>
      </c>
      <c r="B88" s="61" t="s">
        <v>302</v>
      </c>
      <c r="C88" s="61">
        <f>A88*1.5 /1000</f>
        <v>1.7999999999999999E-2</v>
      </c>
      <c r="D88" s="61">
        <f>Helicoil!E88/1000</f>
        <v>1.1599999999999999E-2</v>
      </c>
      <c r="E88" s="61">
        <f>Helicoil!F88/1000</f>
        <v>1.44E-2</v>
      </c>
      <c r="F88" s="61">
        <f>Helicoil!G88/1000</f>
        <v>1.4800000000000001E-2</v>
      </c>
      <c r="G88" s="61">
        <f>Helicoil!H88/1000</f>
        <v>1.227E-2</v>
      </c>
      <c r="H88" s="68">
        <f>Helicoil!I88</f>
        <v>12.48</v>
      </c>
      <c r="I88" s="61">
        <f>Helicoil!J88/1000</f>
        <v>1.225E-2</v>
      </c>
      <c r="J88" s="61">
        <f>Helicoil!K88/1000</f>
        <v>1.7399999999999999E-2</v>
      </c>
      <c r="K88" s="61">
        <f>Helicoil!L88/1000</f>
        <v>1.3619999999999998E-2</v>
      </c>
      <c r="L88" s="31">
        <f>(Tabla1[[#This Row],[d1_min]]+Tabla1[[#This Row],[d1_max]])/2</f>
        <v>1.46E-2</v>
      </c>
      <c r="M88" s="106">
        <f>(Tabla1[[#This Row],[D1Hc_min]]+Tabla1[[#This Row],[D1Hc_max]]/1000)/2</f>
        <v>1.2375000000000001E-2</v>
      </c>
      <c r="N88" s="31">
        <f>Tabla1[[#This Row],[W]]*1000</f>
        <v>11.6</v>
      </c>
      <c r="V88">
        <v>62</v>
      </c>
    </row>
    <row r="89" spans="1:22" x14ac:dyDescent="0.3">
      <c r="A89" s="31">
        <v>12</v>
      </c>
      <c r="B89" s="61" t="s">
        <v>303</v>
      </c>
      <c r="C89" s="61">
        <f>A89*2 /1000</f>
        <v>2.4E-2</v>
      </c>
      <c r="D89" s="61">
        <f>Helicoil!E89/1000</f>
        <v>1.5900000000000001E-2</v>
      </c>
      <c r="E89" s="61">
        <f>Helicoil!F89/1000</f>
        <v>1.44E-2</v>
      </c>
      <c r="F89" s="61">
        <f>Helicoil!G89/1000</f>
        <v>1.4800000000000001E-2</v>
      </c>
      <c r="G89" s="61">
        <f>Helicoil!H89/1000</f>
        <v>1.227E-2</v>
      </c>
      <c r="H89" s="68">
        <f>Helicoil!I89</f>
        <v>12.48</v>
      </c>
      <c r="I89" s="61">
        <f>Helicoil!J89/1000</f>
        <v>1.225E-2</v>
      </c>
      <c r="J89" s="61">
        <f>Helicoil!K89/1000</f>
        <v>2.3399999999999997E-2</v>
      </c>
      <c r="K89" s="61">
        <f>Helicoil!L89/1000</f>
        <v>1.3619999999999998E-2</v>
      </c>
      <c r="L89" s="31">
        <f>(Tabla1[[#This Row],[d1_min]]+Tabla1[[#This Row],[d1_max]])/2</f>
        <v>1.46E-2</v>
      </c>
      <c r="M89" s="106">
        <f>(Tabla1[[#This Row],[D1Hc_min]]+Tabla1[[#This Row],[D1Hc_max]]/1000)/2</f>
        <v>1.2375000000000001E-2</v>
      </c>
      <c r="N89" s="31">
        <f>Tabla1[[#This Row],[W]]*1000</f>
        <v>15.9</v>
      </c>
      <c r="V89">
        <v>9.8000000000000007</v>
      </c>
    </row>
    <row r="90" spans="1:22" x14ac:dyDescent="0.3">
      <c r="A90" s="31">
        <v>12</v>
      </c>
      <c r="B90" s="61" t="s">
        <v>304</v>
      </c>
      <c r="C90" s="61">
        <f>A90*2.5 /1000</f>
        <v>0.03</v>
      </c>
      <c r="D90" s="61">
        <f>Helicoil!E90/1000</f>
        <v>0.02</v>
      </c>
      <c r="E90" s="61">
        <f>Helicoil!F90/1000</f>
        <v>1.44E-2</v>
      </c>
      <c r="F90" s="61">
        <f>Helicoil!G90/1000</f>
        <v>1.4800000000000001E-2</v>
      </c>
      <c r="G90" s="61">
        <f>Helicoil!H90/1000</f>
        <v>1.227E-2</v>
      </c>
      <c r="H90" s="68">
        <f>Helicoil!I90</f>
        <v>12.48</v>
      </c>
      <c r="I90" s="61">
        <f>Helicoil!J90/1000</f>
        <v>1.225E-2</v>
      </c>
      <c r="J90" s="61">
        <f>Helicoil!K90/1000</f>
        <v>2.9399999999999999E-2</v>
      </c>
      <c r="K90" s="61">
        <f>Helicoil!L90/1000</f>
        <v>1.3619999999999998E-2</v>
      </c>
      <c r="L90" s="31">
        <f>(Tabla1[[#This Row],[d1_min]]+Tabla1[[#This Row],[d1_max]])/2</f>
        <v>1.46E-2</v>
      </c>
      <c r="M90" s="106">
        <f>(Tabla1[[#This Row],[D1Hc_min]]+Tabla1[[#This Row],[D1Hc_max]]/1000)/2</f>
        <v>1.2375000000000001E-2</v>
      </c>
      <c r="N90" s="31">
        <f>Tabla1[[#This Row],[W]]*1000</f>
        <v>20</v>
      </c>
      <c r="V90" t="s">
        <v>329</v>
      </c>
    </row>
    <row r="91" spans="1:22" x14ac:dyDescent="0.3">
      <c r="A91" s="31">
        <v>12</v>
      </c>
      <c r="B91" s="61" t="s">
        <v>305</v>
      </c>
      <c r="C91" s="61">
        <f>A91*3 /1000</f>
        <v>3.5999999999999997E-2</v>
      </c>
      <c r="D91" s="61">
        <f>Helicoil!E91/1000</f>
        <v>2.4300000000000002E-2</v>
      </c>
      <c r="E91" s="61">
        <f>Helicoil!F91/1000</f>
        <v>1.44E-2</v>
      </c>
      <c r="F91" s="61">
        <f>Helicoil!G91/1000</f>
        <v>1.4800000000000001E-2</v>
      </c>
      <c r="G91" s="61">
        <f>Helicoil!H91/1000</f>
        <v>1.227E-2</v>
      </c>
      <c r="H91" s="68">
        <f>Helicoil!I91</f>
        <v>12.48</v>
      </c>
      <c r="I91" s="61">
        <f>Helicoil!J91/1000</f>
        <v>1.225E-2</v>
      </c>
      <c r="J91" s="61">
        <f>Helicoil!K91/1000</f>
        <v>3.5400000000000001E-2</v>
      </c>
      <c r="K91" s="61">
        <f>Helicoil!L91/1000</f>
        <v>1.3619999999999998E-2</v>
      </c>
      <c r="L91" s="31">
        <f>(Tabla1[[#This Row],[d1_min]]+Tabla1[[#This Row],[d1_max]])/2</f>
        <v>1.46E-2</v>
      </c>
      <c r="M91" s="106">
        <f>(Tabla1[[#This Row],[D1Hc_min]]+Tabla1[[#This Row],[D1Hc_max]]/1000)/2</f>
        <v>1.2375000000000001E-2</v>
      </c>
      <c r="N91" s="31">
        <f>Tabla1[[#This Row],[W]]*1000</f>
        <v>24.3</v>
      </c>
      <c r="V91" t="s">
        <v>339</v>
      </c>
    </row>
    <row r="92" spans="1:22" x14ac:dyDescent="0.3">
      <c r="A92" s="31">
        <v>12</v>
      </c>
      <c r="B92" s="61" t="s">
        <v>301</v>
      </c>
      <c r="C92" s="31">
        <f t="shared" ref="C92:C111" si="2">A92*1 /1000</f>
        <v>1.2E-2</v>
      </c>
      <c r="D92" s="61">
        <f>Helicoil!E92/1000</f>
        <v>6.1999999999999998E-3</v>
      </c>
      <c r="E92" s="61">
        <f>Helicoil!F92/1000</f>
        <v>1.44E-2</v>
      </c>
      <c r="F92" s="61">
        <f>Helicoil!G92/1000</f>
        <v>1.4800000000000001E-2</v>
      </c>
      <c r="G92" s="61">
        <f>Helicoil!H92/1000</f>
        <v>1.2320000000000001E-2</v>
      </c>
      <c r="H92" s="68">
        <f>Helicoil!I92</f>
        <v>12.56</v>
      </c>
      <c r="I92" s="61">
        <f>Helicoil!J92/1000</f>
        <v>1.2500000000000001E-2</v>
      </c>
      <c r="J92" s="61">
        <f>Helicoil!K92/1000</f>
        <v>1.12E-2</v>
      </c>
      <c r="K92" s="61">
        <f>Helicoil!L92/1000</f>
        <v>1.3949999999999999E-2</v>
      </c>
      <c r="L92" s="31">
        <f>(Tabla1[[#This Row],[d1_min]]+Tabla1[[#This Row],[d1_max]])/2</f>
        <v>1.46E-2</v>
      </c>
      <c r="M92" s="106">
        <f>(Tabla1[[#This Row],[D1Hc_min]]+Tabla1[[#This Row],[D1Hc_max]]/1000)/2</f>
        <v>1.244E-2</v>
      </c>
      <c r="N92" s="31">
        <f>Tabla1[[#This Row],[W]]*1000</f>
        <v>6.2</v>
      </c>
    </row>
    <row r="93" spans="1:22" x14ac:dyDescent="0.3">
      <c r="A93" s="31">
        <v>12</v>
      </c>
      <c r="B93" s="61" t="s">
        <v>302</v>
      </c>
      <c r="C93" s="61">
        <f>A93*1.5 /1000</f>
        <v>1.7999999999999999E-2</v>
      </c>
      <c r="D93" s="61">
        <f>Helicoil!E93/1000</f>
        <v>9.8000000000000014E-3</v>
      </c>
      <c r="E93" s="61">
        <f>Helicoil!F93/1000</f>
        <v>1.44E-2</v>
      </c>
      <c r="F93" s="61">
        <f>Helicoil!G93/1000</f>
        <v>1.4800000000000001E-2</v>
      </c>
      <c r="G93" s="61">
        <f>Helicoil!H93/1000</f>
        <v>1.2320000000000001E-2</v>
      </c>
      <c r="H93" s="68">
        <f>Helicoil!I93</f>
        <v>12.56</v>
      </c>
      <c r="I93" s="61">
        <f>Helicoil!J93/1000</f>
        <v>1.2500000000000001E-2</v>
      </c>
      <c r="J93" s="61">
        <f>Helicoil!K93/1000</f>
        <v>1.72E-2</v>
      </c>
      <c r="K93" s="61">
        <f>Helicoil!L93/1000</f>
        <v>1.3949999999999999E-2</v>
      </c>
      <c r="L93" s="31">
        <f>(Tabla1[[#This Row],[d1_min]]+Tabla1[[#This Row],[d1_max]])/2</f>
        <v>1.46E-2</v>
      </c>
      <c r="M93" s="106">
        <f>(Tabla1[[#This Row],[D1Hc_min]]+Tabla1[[#This Row],[D1Hc_max]]/1000)/2</f>
        <v>1.244E-2</v>
      </c>
      <c r="N93" s="31">
        <f>Tabla1[[#This Row],[W]]*1000</f>
        <v>9.8000000000000007</v>
      </c>
    </row>
    <row r="94" spans="1:22" x14ac:dyDescent="0.3">
      <c r="A94" s="31">
        <v>12</v>
      </c>
      <c r="B94" s="61" t="s">
        <v>303</v>
      </c>
      <c r="C94" s="61">
        <f>A94*2 /1000</f>
        <v>2.4E-2</v>
      </c>
      <c r="D94" s="61">
        <f>Helicoil!E94/1000</f>
        <v>1.35E-2</v>
      </c>
      <c r="E94" s="61">
        <f>Helicoil!F94/1000</f>
        <v>1.44E-2</v>
      </c>
      <c r="F94" s="61">
        <f>Helicoil!G94/1000</f>
        <v>1.4800000000000001E-2</v>
      </c>
      <c r="G94" s="61">
        <f>Helicoil!H94/1000</f>
        <v>1.2320000000000001E-2</v>
      </c>
      <c r="H94" s="68">
        <f>Helicoil!I94</f>
        <v>12.56</v>
      </c>
      <c r="I94" s="61">
        <f>Helicoil!J94/1000</f>
        <v>1.2500000000000001E-2</v>
      </c>
      <c r="J94" s="61">
        <f>Helicoil!K94/1000</f>
        <v>2.3199999999999998E-2</v>
      </c>
      <c r="K94" s="61">
        <f>Helicoil!L94/1000</f>
        <v>1.3949999999999999E-2</v>
      </c>
      <c r="L94" s="31">
        <f>(Tabla1[[#This Row],[d1_min]]+Tabla1[[#This Row],[d1_max]])/2</f>
        <v>1.46E-2</v>
      </c>
      <c r="M94" s="106">
        <f>(Tabla1[[#This Row],[D1Hc_min]]+Tabla1[[#This Row],[D1Hc_max]]/1000)/2</f>
        <v>1.244E-2</v>
      </c>
      <c r="N94" s="31">
        <f>Tabla1[[#This Row],[W]]*1000</f>
        <v>13.5</v>
      </c>
    </row>
    <row r="95" spans="1:22" x14ac:dyDescent="0.3">
      <c r="A95" s="31">
        <v>12</v>
      </c>
      <c r="B95" s="61" t="s">
        <v>304</v>
      </c>
      <c r="C95" s="61">
        <f>A95*2.5 /1000</f>
        <v>0.03</v>
      </c>
      <c r="D95" s="61">
        <f>Helicoil!E95/1000</f>
        <v>1.7100000000000001E-2</v>
      </c>
      <c r="E95" s="61">
        <f>Helicoil!F95/1000</f>
        <v>1.44E-2</v>
      </c>
      <c r="F95" s="61">
        <f>Helicoil!G95/1000</f>
        <v>1.4800000000000001E-2</v>
      </c>
      <c r="G95" s="61">
        <f>Helicoil!H95/1000</f>
        <v>1.2320000000000001E-2</v>
      </c>
      <c r="H95" s="68">
        <f>Helicoil!I95</f>
        <v>12.56</v>
      </c>
      <c r="I95" s="61">
        <f>Helicoil!J95/1000</f>
        <v>1.2500000000000001E-2</v>
      </c>
      <c r="J95" s="61">
        <f>Helicoil!K95/1000</f>
        <v>2.92E-2</v>
      </c>
      <c r="K95" s="61">
        <f>Helicoil!L95/1000</f>
        <v>1.3949999999999999E-2</v>
      </c>
      <c r="L95" s="31">
        <f>(Tabla1[[#This Row],[d1_min]]+Tabla1[[#This Row],[d1_max]])/2</f>
        <v>1.46E-2</v>
      </c>
      <c r="M95" s="106">
        <f>(Tabla1[[#This Row],[D1Hc_min]]+Tabla1[[#This Row],[D1Hc_max]]/1000)/2</f>
        <v>1.244E-2</v>
      </c>
      <c r="N95" s="31">
        <f>Tabla1[[#This Row],[W]]*1000</f>
        <v>17.100000000000001</v>
      </c>
    </row>
    <row r="96" spans="1:22" x14ac:dyDescent="0.3">
      <c r="A96" s="31">
        <v>12</v>
      </c>
      <c r="B96" s="61" t="s">
        <v>305</v>
      </c>
      <c r="C96" s="61">
        <f>A96*3 /1000</f>
        <v>3.5999999999999997E-2</v>
      </c>
      <c r="D96" s="61">
        <f>Helicoil!E96/1000</f>
        <v>2.0799999999999999E-2</v>
      </c>
      <c r="E96" s="61">
        <f>Helicoil!F96/1000</f>
        <v>1.44E-2</v>
      </c>
      <c r="F96" s="61">
        <f>Helicoil!G96/1000</f>
        <v>1.4800000000000001E-2</v>
      </c>
      <c r="G96" s="61">
        <f>Helicoil!H96/1000</f>
        <v>1.2320000000000001E-2</v>
      </c>
      <c r="H96" s="68">
        <f>Helicoil!I96</f>
        <v>12.56</v>
      </c>
      <c r="I96" s="61">
        <f>Helicoil!J96/1000</f>
        <v>1.2500000000000001E-2</v>
      </c>
      <c r="J96" s="61">
        <f>Helicoil!K96/1000</f>
        <v>3.5200000000000002E-2</v>
      </c>
      <c r="K96" s="61">
        <f>Helicoil!L96/1000</f>
        <v>1.3949999999999999E-2</v>
      </c>
      <c r="L96" s="31">
        <f>(Tabla1[[#This Row],[d1_min]]+Tabla1[[#This Row],[d1_max]])/2</f>
        <v>1.46E-2</v>
      </c>
      <c r="M96" s="106">
        <f>(Tabla1[[#This Row],[D1Hc_min]]+Tabla1[[#This Row],[D1Hc_max]]/1000)/2</f>
        <v>1.244E-2</v>
      </c>
      <c r="N96" s="31">
        <f>Tabla1[[#This Row],[W]]*1000</f>
        <v>20.8</v>
      </c>
    </row>
    <row r="97" spans="1:14" x14ac:dyDescent="0.3">
      <c r="A97" s="31">
        <f>Helicoil!A97</f>
        <v>14</v>
      </c>
      <c r="B97" s="61" t="s">
        <v>301</v>
      </c>
      <c r="C97" s="31">
        <f>A97*1 /1000</f>
        <v>1.4E-2</v>
      </c>
      <c r="D97" s="61">
        <f>Helicoil!E97/1000</f>
        <v>5.5999999999999999E-3</v>
      </c>
      <c r="E97" s="61">
        <f>Helicoil!F97/1000</f>
        <v>1.6800000000000002E-2</v>
      </c>
      <c r="F97" s="61">
        <f>Helicoil!G97/1000</f>
        <v>1.72E-2</v>
      </c>
      <c r="G97" s="61">
        <f>Helicoil!H97/1000</f>
        <v>1.443E-2</v>
      </c>
      <c r="H97" s="68">
        <f>Helicoil!I97</f>
        <v>14.73</v>
      </c>
      <c r="I97" s="61">
        <f>Helicoil!J97/1000</f>
        <v>1.4500000000000001E-2</v>
      </c>
      <c r="J97" s="61">
        <f>Helicoil!K97/1000</f>
        <v>1.2999999999999999E-2</v>
      </c>
      <c r="K97" s="61">
        <f>Helicoil!L97/1000</f>
        <v>1.66E-2</v>
      </c>
      <c r="L97" s="31">
        <f>(Tabla1[[#This Row],[d1_min]]+Tabla1[[#This Row],[d1_max]])/2</f>
        <v>1.7000000000000001E-2</v>
      </c>
      <c r="M97" s="106">
        <f>(Tabla1[[#This Row],[D1Hc_min]]+Tabla1[[#This Row],[D1Hc_max]]/1000)/2</f>
        <v>1.4579999999999999E-2</v>
      </c>
      <c r="N97" s="31">
        <f>Tabla1[[#This Row],[W]]*1000</f>
        <v>5.6</v>
      </c>
    </row>
    <row r="98" spans="1:14" x14ac:dyDescent="0.3">
      <c r="A98" s="31">
        <f>Helicoil!A98</f>
        <v>14</v>
      </c>
      <c r="B98" s="61" t="s">
        <v>302</v>
      </c>
      <c r="C98" s="61">
        <f>A98*1.5 /1000</f>
        <v>2.1000000000000001E-2</v>
      </c>
      <c r="D98" s="61">
        <f>Helicoil!E98/1000</f>
        <v>8.8000000000000005E-3</v>
      </c>
      <c r="E98" s="61">
        <f>Helicoil!F98/1000</f>
        <v>1.6800000000000002E-2</v>
      </c>
      <c r="F98" s="61">
        <f>Helicoil!G98/1000</f>
        <v>1.72E-2</v>
      </c>
      <c r="G98" s="61">
        <f>Helicoil!H98/1000</f>
        <v>1.443E-2</v>
      </c>
      <c r="H98" s="68">
        <f>Helicoil!I98</f>
        <v>14.73</v>
      </c>
      <c r="I98" s="61">
        <f>Helicoil!J98/1000</f>
        <v>1.4500000000000001E-2</v>
      </c>
      <c r="J98" s="61">
        <f>Helicoil!K98/1000</f>
        <v>0.02</v>
      </c>
      <c r="K98" s="61">
        <f>Helicoil!L98/1000</f>
        <v>1.66E-2</v>
      </c>
      <c r="L98" s="31">
        <f>(Tabla1[[#This Row],[d1_min]]+Tabla1[[#This Row],[d1_max]])/2</f>
        <v>1.7000000000000001E-2</v>
      </c>
      <c r="M98" s="106">
        <f>(Tabla1[[#This Row],[D1Hc_min]]+Tabla1[[#This Row],[D1Hc_max]]/1000)/2</f>
        <v>1.4579999999999999E-2</v>
      </c>
      <c r="N98" s="31">
        <f>Tabla1[[#This Row],[W]]*1000</f>
        <v>8.8000000000000007</v>
      </c>
    </row>
    <row r="99" spans="1:14" x14ac:dyDescent="0.3">
      <c r="A99" s="31">
        <f>Helicoil!A99</f>
        <v>14</v>
      </c>
      <c r="B99" s="61" t="s">
        <v>303</v>
      </c>
      <c r="C99" s="61">
        <f>A99*2 /1000</f>
        <v>2.8000000000000001E-2</v>
      </c>
      <c r="D99" s="61">
        <f>Helicoil!E99/1000</f>
        <v>1.2E-2</v>
      </c>
      <c r="E99" s="61">
        <f>Helicoil!F99/1000</f>
        <v>1.6800000000000002E-2</v>
      </c>
      <c r="F99" s="61">
        <f>Helicoil!G99/1000</f>
        <v>1.72E-2</v>
      </c>
      <c r="G99" s="61">
        <f>Helicoil!H99/1000</f>
        <v>1.443E-2</v>
      </c>
      <c r="H99" s="68">
        <f>Helicoil!I99</f>
        <v>14.73</v>
      </c>
      <c r="I99" s="61">
        <f>Helicoil!J99/1000</f>
        <v>1.4500000000000001E-2</v>
      </c>
      <c r="J99" s="61">
        <f>Helicoil!K99/1000</f>
        <v>2.7E-2</v>
      </c>
      <c r="K99" s="61">
        <f>Helicoil!L99/1000</f>
        <v>1.66E-2</v>
      </c>
      <c r="L99" s="31">
        <f>(Tabla1[[#This Row],[d1_min]]+Tabla1[[#This Row],[d1_max]])/2</f>
        <v>1.7000000000000001E-2</v>
      </c>
      <c r="M99" s="106">
        <f>(Tabla1[[#This Row],[D1Hc_min]]+Tabla1[[#This Row],[D1Hc_max]]/1000)/2</f>
        <v>1.4579999999999999E-2</v>
      </c>
      <c r="N99" s="31">
        <f>Tabla1[[#This Row],[W]]*1000</f>
        <v>12</v>
      </c>
    </row>
    <row r="100" spans="1:14" x14ac:dyDescent="0.3">
      <c r="A100" s="31">
        <f>Helicoil!A100</f>
        <v>14</v>
      </c>
      <c r="B100" s="61" t="s">
        <v>304</v>
      </c>
      <c r="C100" s="61">
        <f>A100*2.5 /1000</f>
        <v>3.5000000000000003E-2</v>
      </c>
      <c r="D100" s="61">
        <f>Helicoil!E100/1000</f>
        <v>1.52E-2</v>
      </c>
      <c r="E100" s="61">
        <f>Helicoil!F100/1000</f>
        <v>1.6800000000000002E-2</v>
      </c>
      <c r="F100" s="61">
        <f>Helicoil!G100/1000</f>
        <v>1.72E-2</v>
      </c>
      <c r="G100" s="61">
        <f>Helicoil!H100/1000</f>
        <v>1.443E-2</v>
      </c>
      <c r="H100" s="68">
        <f>Helicoil!I100</f>
        <v>14.73</v>
      </c>
      <c r="I100" s="61">
        <f>Helicoil!J100/1000</f>
        <v>1.4500000000000001E-2</v>
      </c>
      <c r="J100" s="61">
        <f>Helicoil!K100/1000</f>
        <v>3.4000000000000002E-2</v>
      </c>
      <c r="K100" s="61">
        <f>Helicoil!L100/1000</f>
        <v>1.66E-2</v>
      </c>
      <c r="L100" s="31">
        <f>(Tabla1[[#This Row],[d1_min]]+Tabla1[[#This Row],[d1_max]])/2</f>
        <v>1.7000000000000001E-2</v>
      </c>
      <c r="M100" s="106">
        <f>(Tabla1[[#This Row],[D1Hc_min]]+Tabla1[[#This Row],[D1Hc_max]]/1000)/2</f>
        <v>1.4579999999999999E-2</v>
      </c>
      <c r="N100" s="31">
        <f>Tabla1[[#This Row],[W]]*1000</f>
        <v>15.2</v>
      </c>
    </row>
    <row r="101" spans="1:14" x14ac:dyDescent="0.3">
      <c r="A101" s="31">
        <f>Helicoil!A101</f>
        <v>14</v>
      </c>
      <c r="B101" s="61" t="s">
        <v>305</v>
      </c>
      <c r="C101" s="61">
        <f>A101*3 /1000</f>
        <v>4.2000000000000003E-2</v>
      </c>
      <c r="D101" s="61">
        <f>Helicoil!E101/1000</f>
        <v>0</v>
      </c>
      <c r="E101" s="61">
        <f>Helicoil!F101/1000</f>
        <v>0</v>
      </c>
      <c r="F101" s="61">
        <f>Helicoil!G101/1000</f>
        <v>0</v>
      </c>
      <c r="G101" s="61">
        <f>Helicoil!H101/1000</f>
        <v>0</v>
      </c>
      <c r="H101" s="68">
        <f>Helicoil!I101</f>
        <v>0</v>
      </c>
      <c r="I101" s="61">
        <f>Helicoil!J101/1000</f>
        <v>0</v>
      </c>
      <c r="J101" s="61">
        <f>Helicoil!K101/1000</f>
        <v>0</v>
      </c>
      <c r="K101" s="61">
        <f>Helicoil!L101/1000</f>
        <v>0</v>
      </c>
      <c r="L101" s="31">
        <f>(Tabla1[[#This Row],[d1_min]]+Tabla1[[#This Row],[d1_max]])/2</f>
        <v>0</v>
      </c>
      <c r="M101" s="106">
        <f>(Tabla1[[#This Row],[D1Hc_min]]+Tabla1[[#This Row],[D1Hc_max]]/1000)/2</f>
        <v>0</v>
      </c>
      <c r="N101" s="31">
        <f>Tabla1[[#This Row],[W]]*1000</f>
        <v>0</v>
      </c>
    </row>
    <row r="102" spans="1:14" x14ac:dyDescent="0.3">
      <c r="A102" s="31">
        <f>Helicoil!A102</f>
        <v>14</v>
      </c>
      <c r="B102" s="61" t="s">
        <v>301</v>
      </c>
      <c r="C102" s="31">
        <f t="shared" si="2"/>
        <v>1.4E-2</v>
      </c>
      <c r="D102" s="61">
        <f>Helicoil!E102/1000</f>
        <v>1.12E-2</v>
      </c>
      <c r="E102" s="61">
        <f>Helicoil!F102/1000</f>
        <v>1.6800000000000002E-2</v>
      </c>
      <c r="F102" s="61">
        <f>Helicoil!G102/1000</f>
        <v>1.72E-2</v>
      </c>
      <c r="G102" s="61">
        <f>Helicoil!H102/1000</f>
        <v>1.422E-2</v>
      </c>
      <c r="H102" s="68">
        <f>Helicoil!I102</f>
        <v>14.41</v>
      </c>
      <c r="I102" s="61">
        <f>Helicoil!J102/1000</f>
        <v>1.4250000000000001E-2</v>
      </c>
      <c r="J102" s="61">
        <f>Helicoil!K102/1000</f>
        <v>1.35E-2</v>
      </c>
      <c r="K102" s="61">
        <f>Helicoil!L102/1000</f>
        <v>1.5300000000000001E-2</v>
      </c>
      <c r="L102" s="31">
        <f>(Tabla1[[#This Row],[d1_min]]+Tabla1[[#This Row],[d1_max]])/2</f>
        <v>1.7000000000000001E-2</v>
      </c>
      <c r="M102" s="106">
        <f>(Tabla1[[#This Row],[D1Hc_min]]+Tabla1[[#This Row],[D1Hc_max]]/1000)/2</f>
        <v>1.4315000000000001E-2</v>
      </c>
      <c r="N102" s="31">
        <f>Tabla1[[#This Row],[W]]*1000</f>
        <v>11.2</v>
      </c>
    </row>
    <row r="103" spans="1:14" x14ac:dyDescent="0.3">
      <c r="A103" s="31">
        <f>Helicoil!A103</f>
        <v>14</v>
      </c>
      <c r="B103" s="61" t="s">
        <v>302</v>
      </c>
      <c r="C103" s="61">
        <f>A103*1.5 /1000</f>
        <v>2.1000000000000001E-2</v>
      </c>
      <c r="D103" s="61">
        <f>Helicoil!E103/1000</f>
        <v>1.72E-2</v>
      </c>
      <c r="E103" s="61">
        <f>Helicoil!F103/1000</f>
        <v>1.6800000000000002E-2</v>
      </c>
      <c r="F103" s="61">
        <f>Helicoil!G103/1000</f>
        <v>1.72E-2</v>
      </c>
      <c r="G103" s="61">
        <f>Helicoil!H103/1000</f>
        <v>1.422E-2</v>
      </c>
      <c r="H103" s="68">
        <f>Helicoil!I103</f>
        <v>14.41</v>
      </c>
      <c r="I103" s="61">
        <f>Helicoil!J103/1000</f>
        <v>1.4250000000000001E-2</v>
      </c>
      <c r="J103" s="61">
        <f>Helicoil!K103/1000</f>
        <v>2.0500000000000001E-2</v>
      </c>
      <c r="K103" s="61">
        <f>Helicoil!L103/1000</f>
        <v>1.5300000000000001E-2</v>
      </c>
      <c r="L103" s="31">
        <f>(Tabla1[[#This Row],[d1_min]]+Tabla1[[#This Row],[d1_max]])/2</f>
        <v>1.7000000000000001E-2</v>
      </c>
      <c r="M103" s="106">
        <f>(Tabla1[[#This Row],[D1Hc_min]]+Tabla1[[#This Row],[D1Hc_max]]/1000)/2</f>
        <v>1.4315000000000001E-2</v>
      </c>
      <c r="N103" s="31">
        <f>Tabla1[[#This Row],[W]]*1000</f>
        <v>17.2</v>
      </c>
    </row>
    <row r="104" spans="1:14" x14ac:dyDescent="0.3">
      <c r="A104" s="31">
        <f>Helicoil!A104</f>
        <v>14</v>
      </c>
      <c r="B104" s="61" t="s">
        <v>303</v>
      </c>
      <c r="C104" s="61">
        <f>A104*2 /1000</f>
        <v>2.8000000000000001E-2</v>
      </c>
      <c r="D104" s="61">
        <f>Helicoil!E104/1000</f>
        <v>2.3199999999999998E-2</v>
      </c>
      <c r="E104" s="61">
        <f>Helicoil!F104/1000</f>
        <v>1.6800000000000002E-2</v>
      </c>
      <c r="F104" s="61">
        <f>Helicoil!G104/1000</f>
        <v>1.72E-2</v>
      </c>
      <c r="G104" s="61">
        <f>Helicoil!H104/1000</f>
        <v>1.422E-2</v>
      </c>
      <c r="H104" s="68">
        <f>Helicoil!I104</f>
        <v>14.41</v>
      </c>
      <c r="I104" s="61">
        <f>Helicoil!J104/1000</f>
        <v>1.4250000000000001E-2</v>
      </c>
      <c r="J104" s="61">
        <f>Helicoil!K104/1000</f>
        <v>2.75E-2</v>
      </c>
      <c r="K104" s="61">
        <f>Helicoil!L104/1000</f>
        <v>1.5300000000000001E-2</v>
      </c>
      <c r="L104" s="31">
        <f>(Tabla1[[#This Row],[d1_min]]+Tabla1[[#This Row],[d1_max]])/2</f>
        <v>1.7000000000000001E-2</v>
      </c>
      <c r="M104" s="106">
        <f>(Tabla1[[#This Row],[D1Hc_min]]+Tabla1[[#This Row],[D1Hc_max]]/1000)/2</f>
        <v>1.4315000000000001E-2</v>
      </c>
      <c r="N104" s="31">
        <f>Tabla1[[#This Row],[W]]*1000</f>
        <v>23.2</v>
      </c>
    </row>
    <row r="105" spans="1:14" x14ac:dyDescent="0.3">
      <c r="A105" s="31">
        <f>Helicoil!A105</f>
        <v>14</v>
      </c>
      <c r="B105" s="61" t="s">
        <v>304</v>
      </c>
      <c r="C105" s="61">
        <f>A105*2.5 /1000</f>
        <v>3.5000000000000003E-2</v>
      </c>
      <c r="D105" s="61">
        <f>Helicoil!E105/1000</f>
        <v>2.92E-2</v>
      </c>
      <c r="E105" s="61">
        <f>Helicoil!F105/1000</f>
        <v>1.6800000000000002E-2</v>
      </c>
      <c r="F105" s="61">
        <f>Helicoil!G105/1000</f>
        <v>1.72E-2</v>
      </c>
      <c r="G105" s="61">
        <f>Helicoil!H105/1000</f>
        <v>1.422E-2</v>
      </c>
      <c r="H105" s="68">
        <f>Helicoil!I105</f>
        <v>14.41</v>
      </c>
      <c r="I105" s="61">
        <f>Helicoil!J105/1000</f>
        <v>1.4250000000000001E-2</v>
      </c>
      <c r="J105" s="61">
        <f>Helicoil!K105/1000</f>
        <v>3.4500000000000003E-2</v>
      </c>
      <c r="K105" s="61">
        <f>Helicoil!L105/1000</f>
        <v>1.5300000000000001E-2</v>
      </c>
      <c r="L105" s="31">
        <f>(Tabla1[[#This Row],[d1_min]]+Tabla1[[#This Row],[d1_max]])/2</f>
        <v>1.7000000000000001E-2</v>
      </c>
      <c r="M105" s="106">
        <f>(Tabla1[[#This Row],[D1Hc_min]]+Tabla1[[#This Row],[D1Hc_max]]/1000)/2</f>
        <v>1.4315000000000001E-2</v>
      </c>
      <c r="N105" s="31">
        <f>Tabla1[[#This Row],[W]]*1000</f>
        <v>29.2</v>
      </c>
    </row>
    <row r="106" spans="1:14" x14ac:dyDescent="0.3">
      <c r="A106" s="31">
        <f>Helicoil!A106</f>
        <v>14</v>
      </c>
      <c r="B106" s="61" t="s">
        <v>305</v>
      </c>
      <c r="C106" s="61">
        <f>A106*3 /1000</f>
        <v>4.2000000000000003E-2</v>
      </c>
      <c r="D106" s="61">
        <f>Helicoil!E106/1000</f>
        <v>0</v>
      </c>
      <c r="E106" s="61">
        <f>Helicoil!F106/1000</f>
        <v>0</v>
      </c>
      <c r="F106" s="61">
        <f>Helicoil!G106/1000</f>
        <v>0</v>
      </c>
      <c r="G106" s="61">
        <f>Helicoil!H106/1000</f>
        <v>0</v>
      </c>
      <c r="H106" s="68">
        <f>Helicoil!I106</f>
        <v>0</v>
      </c>
      <c r="I106" s="61">
        <f>Helicoil!J106/1000</f>
        <v>0</v>
      </c>
      <c r="J106" s="61">
        <f>Helicoil!K106/1000</f>
        <v>0</v>
      </c>
      <c r="K106" s="61">
        <f>Helicoil!L106/1000</f>
        <v>0</v>
      </c>
      <c r="L106" s="31">
        <f>(Tabla1[[#This Row],[d1_min]]+Tabla1[[#This Row],[d1_max]])/2</f>
        <v>0</v>
      </c>
      <c r="M106" s="106">
        <f>(Tabla1[[#This Row],[D1Hc_min]]+Tabla1[[#This Row],[D1Hc_max]]/1000)/2</f>
        <v>0</v>
      </c>
      <c r="N106" s="31">
        <f>Tabla1[[#This Row],[W]]*1000</f>
        <v>0</v>
      </c>
    </row>
    <row r="107" spans="1:14" x14ac:dyDescent="0.3">
      <c r="A107" s="31">
        <f>Helicoil!A107</f>
        <v>14</v>
      </c>
      <c r="B107" s="61" t="s">
        <v>301</v>
      </c>
      <c r="C107" s="31">
        <f t="shared" si="2"/>
        <v>1.4E-2</v>
      </c>
      <c r="D107" s="61">
        <f>Helicoil!E107/1000</f>
        <v>4.5999999999999999E-3</v>
      </c>
      <c r="E107" s="61">
        <f>Helicoil!F107/1000</f>
        <v>1.6800000000000002E-2</v>
      </c>
      <c r="F107" s="61">
        <f>Helicoil!G107/1000</f>
        <v>1.72E-2</v>
      </c>
      <c r="G107" s="61">
        <f>Helicoil!H107/1000</f>
        <v>1.427E-2</v>
      </c>
      <c r="H107" s="68">
        <f>Helicoil!I107</f>
        <v>14.48</v>
      </c>
      <c r="I107" s="61">
        <f>Helicoil!J107/1000</f>
        <v>1.4250000000000001E-2</v>
      </c>
      <c r="J107" s="61">
        <f>Helicoil!K107/1000</f>
        <v>7.7999999999999996E-3</v>
      </c>
      <c r="K107" s="61">
        <f>Helicoil!L107/1000</f>
        <v>1.5619999999999998E-2</v>
      </c>
      <c r="L107" s="31">
        <f>(Tabla1[[#This Row],[d1_min]]+Tabla1[[#This Row],[d1_max]])/2</f>
        <v>1.7000000000000001E-2</v>
      </c>
      <c r="M107" s="106">
        <f>(Tabla1[[#This Row],[D1Hc_min]]+Tabla1[[#This Row],[D1Hc_max]]/1000)/2</f>
        <v>1.4374999999999999E-2</v>
      </c>
      <c r="N107" s="31">
        <f>Tabla1[[#This Row],[W]]*1000</f>
        <v>4.5999999999999996</v>
      </c>
    </row>
    <row r="108" spans="1:14" x14ac:dyDescent="0.3">
      <c r="A108" s="31">
        <f>Helicoil!A108</f>
        <v>14</v>
      </c>
      <c r="B108" s="61" t="s">
        <v>302</v>
      </c>
      <c r="C108" s="61">
        <f>A108*1.5 /1000</f>
        <v>2.1000000000000001E-2</v>
      </c>
      <c r="D108" s="61">
        <f>Helicoil!E108/1000</f>
        <v>7.4000000000000003E-3</v>
      </c>
      <c r="E108" s="61">
        <f>Helicoil!F108/1000</f>
        <v>1.6800000000000002E-2</v>
      </c>
      <c r="F108" s="61">
        <f>Helicoil!G108/1000</f>
        <v>1.72E-2</v>
      </c>
      <c r="G108" s="61">
        <f>Helicoil!H108/1000</f>
        <v>1.427E-2</v>
      </c>
      <c r="H108" s="68">
        <f>Helicoil!I108</f>
        <v>14.48</v>
      </c>
      <c r="I108" s="61">
        <f>Helicoil!J108/1000</f>
        <v>1.4250000000000001E-2</v>
      </c>
      <c r="J108" s="61">
        <f>Helicoil!K108/1000</f>
        <v>1.1800000000000001E-2</v>
      </c>
      <c r="K108" s="61">
        <f>Helicoil!L108/1000</f>
        <v>1.5619999999999998E-2</v>
      </c>
      <c r="L108" s="31">
        <f>(Tabla1[[#This Row],[d1_min]]+Tabla1[[#This Row],[d1_max]])/2</f>
        <v>1.7000000000000001E-2</v>
      </c>
      <c r="M108" s="106">
        <f>(Tabla1[[#This Row],[D1Hc_min]]+Tabla1[[#This Row],[D1Hc_max]]/1000)/2</f>
        <v>1.4374999999999999E-2</v>
      </c>
      <c r="N108" s="31">
        <f>Tabla1[[#This Row],[W]]*1000</f>
        <v>7.4</v>
      </c>
    </row>
    <row r="109" spans="1:14" x14ac:dyDescent="0.3">
      <c r="A109" s="31">
        <f>Helicoil!A109</f>
        <v>14</v>
      </c>
      <c r="B109" s="61" t="s">
        <v>303</v>
      </c>
      <c r="C109" s="61">
        <f>A109*2 /1000</f>
        <v>2.8000000000000001E-2</v>
      </c>
      <c r="D109" s="61">
        <f>Helicoil!E109/1000</f>
        <v>9.1000000000000004E-3</v>
      </c>
      <c r="E109" s="61">
        <f>Helicoil!F109/1000</f>
        <v>1.6800000000000002E-2</v>
      </c>
      <c r="F109" s="61">
        <f>Helicoil!G109/1000</f>
        <v>1.72E-2</v>
      </c>
      <c r="G109" s="61">
        <f>Helicoil!H109/1000</f>
        <v>1.427E-2</v>
      </c>
      <c r="H109" s="68">
        <f>Helicoil!I109</f>
        <v>14.48</v>
      </c>
      <c r="I109" s="61">
        <f>Helicoil!J109/1000</f>
        <v>1.4250000000000001E-2</v>
      </c>
      <c r="J109" s="61">
        <f>Helicoil!K109/1000</f>
        <v>1.3800000000000002E-2</v>
      </c>
      <c r="K109" s="61">
        <f>Helicoil!L109/1000</f>
        <v>1.5619999999999998E-2</v>
      </c>
      <c r="L109" s="31">
        <f>(Tabla1[[#This Row],[d1_min]]+Tabla1[[#This Row],[d1_max]])/2</f>
        <v>1.7000000000000001E-2</v>
      </c>
      <c r="M109" s="106">
        <f>(Tabla1[[#This Row],[D1Hc_min]]+Tabla1[[#This Row],[D1Hc_max]]/1000)/2</f>
        <v>1.4374999999999999E-2</v>
      </c>
      <c r="N109" s="31">
        <f>Tabla1[[#This Row],[W]]*1000</f>
        <v>9.1</v>
      </c>
    </row>
    <row r="110" spans="1:14" x14ac:dyDescent="0.3">
      <c r="A110" s="31">
        <f>Helicoil!A110</f>
        <v>14</v>
      </c>
      <c r="B110" s="61" t="s">
        <v>304</v>
      </c>
      <c r="C110" s="61">
        <f>A110*2.5 /1000</f>
        <v>3.5000000000000003E-2</v>
      </c>
      <c r="D110" s="61">
        <f>Helicoil!E110/1000</f>
        <v>1.0199999999999999E-2</v>
      </c>
      <c r="E110" s="61">
        <f>Helicoil!F110/1000</f>
        <v>1.6800000000000002E-2</v>
      </c>
      <c r="F110" s="61">
        <f>Helicoil!G110/1000</f>
        <v>1.72E-2</v>
      </c>
      <c r="G110" s="61">
        <f>Helicoil!H110/1000</f>
        <v>1.427E-2</v>
      </c>
      <c r="H110" s="68">
        <f>Helicoil!I110</f>
        <v>14.48</v>
      </c>
      <c r="I110" s="61">
        <f>Helicoil!J110/1000</f>
        <v>1.4250000000000001E-2</v>
      </c>
      <c r="J110" s="61">
        <f>Helicoil!K110/1000</f>
        <v>1.5800000000000002E-2</v>
      </c>
      <c r="K110" s="61">
        <f>Helicoil!L110/1000</f>
        <v>1.5619999999999998E-2</v>
      </c>
      <c r="L110" s="31">
        <f>(Tabla1[[#This Row],[d1_min]]+Tabla1[[#This Row],[d1_max]])/2</f>
        <v>1.7000000000000001E-2</v>
      </c>
      <c r="M110" s="106">
        <f>(Tabla1[[#This Row],[D1Hc_min]]+Tabla1[[#This Row],[D1Hc_max]]/1000)/2</f>
        <v>1.4374999999999999E-2</v>
      </c>
      <c r="N110" s="31">
        <f>Tabla1[[#This Row],[W]]*1000</f>
        <v>10.199999999999999</v>
      </c>
    </row>
    <row r="111" spans="1:14" x14ac:dyDescent="0.3">
      <c r="A111" s="31">
        <f>Helicoil!A112</f>
        <v>14</v>
      </c>
      <c r="B111" s="61" t="s">
        <v>301</v>
      </c>
      <c r="C111" s="31">
        <f t="shared" si="2"/>
        <v>1.4E-2</v>
      </c>
      <c r="D111" s="61">
        <f>Helicoil!E112/1000</f>
        <v>7.4000000000000003E-3</v>
      </c>
      <c r="E111" s="61">
        <f>Helicoil!F112/1000</f>
        <v>1.6800000000000002E-2</v>
      </c>
      <c r="F111" s="61">
        <f>Helicoil!G112/1000</f>
        <v>1.72E-2</v>
      </c>
      <c r="G111" s="61">
        <f>Helicoil!H112/1000</f>
        <v>1.438E-2</v>
      </c>
      <c r="H111" s="68">
        <f>Helicoil!I112</f>
        <v>14.56</v>
      </c>
      <c r="I111" s="61">
        <f>Helicoil!J112/1000</f>
        <v>1.4500000000000001E-2</v>
      </c>
      <c r="J111" s="61">
        <f>Helicoil!K112/1000</f>
        <v>1.32E-2</v>
      </c>
      <c r="K111" s="61">
        <f>Helicoil!L112/1000</f>
        <v>1.5949999999999999E-2</v>
      </c>
      <c r="L111" s="31">
        <f>(Tabla1[[#This Row],[d1_min]]+Tabla1[[#This Row],[d1_max]])/2</f>
        <v>1.7000000000000001E-2</v>
      </c>
      <c r="M111" s="106">
        <f>(Tabla1[[#This Row],[D1Hc_min]]+Tabla1[[#This Row],[D1Hc_max]]/1000)/2</f>
        <v>1.447E-2</v>
      </c>
      <c r="N111" s="31">
        <f>Tabla1[[#This Row],[W]]*1000</f>
        <v>7.4</v>
      </c>
    </row>
    <row r="112" spans="1:14" x14ac:dyDescent="0.3">
      <c r="A112" s="31">
        <f>Helicoil!A113</f>
        <v>14</v>
      </c>
      <c r="B112" s="61" t="s">
        <v>302</v>
      </c>
      <c r="C112" s="61">
        <f>A112*1.5 /1000</f>
        <v>2.1000000000000001E-2</v>
      </c>
      <c r="D112" s="61">
        <f>Helicoil!E113/1000</f>
        <v>1.1599999999999999E-2</v>
      </c>
      <c r="E112" s="61">
        <f>Helicoil!F113/1000</f>
        <v>1.6800000000000002E-2</v>
      </c>
      <c r="F112" s="61">
        <f>Helicoil!G113/1000</f>
        <v>1.72E-2</v>
      </c>
      <c r="G112" s="61">
        <f>Helicoil!H113/1000</f>
        <v>1.438E-2</v>
      </c>
      <c r="H112" s="68">
        <f>Helicoil!I113</f>
        <v>14.56</v>
      </c>
      <c r="I112" s="61">
        <f>Helicoil!J113/1000</f>
        <v>1.4500000000000001E-2</v>
      </c>
      <c r="J112" s="61">
        <f>Helicoil!K113/1000</f>
        <v>2.0199999999999999E-2</v>
      </c>
      <c r="K112" s="61">
        <f>Helicoil!L113/1000</f>
        <v>1.5949999999999999E-2</v>
      </c>
      <c r="L112" s="31">
        <f>(Tabla1[[#This Row],[d1_min]]+Tabla1[[#This Row],[d1_max]])/2</f>
        <v>1.7000000000000001E-2</v>
      </c>
      <c r="M112" s="106">
        <f>(Tabla1[[#This Row],[D1Hc_min]]+Tabla1[[#This Row],[D1Hc_max]]/1000)/2</f>
        <v>1.447E-2</v>
      </c>
      <c r="N112" s="31">
        <f>Tabla1[[#This Row],[W]]*1000</f>
        <v>11.6</v>
      </c>
    </row>
    <row r="113" spans="1:14" x14ac:dyDescent="0.3">
      <c r="A113" s="31">
        <f>Helicoil!A114</f>
        <v>14</v>
      </c>
      <c r="B113" s="61" t="s">
        <v>303</v>
      </c>
      <c r="C113" s="61">
        <f>A113*2 /1000</f>
        <v>2.8000000000000001E-2</v>
      </c>
      <c r="D113" s="61">
        <f>Helicoil!E114/1000</f>
        <v>1.5699999999999999E-2</v>
      </c>
      <c r="E113" s="61">
        <f>Helicoil!F114/1000</f>
        <v>1.6800000000000002E-2</v>
      </c>
      <c r="F113" s="61">
        <f>Helicoil!G114/1000</f>
        <v>1.72E-2</v>
      </c>
      <c r="G113" s="61">
        <f>Helicoil!H114/1000</f>
        <v>1.438E-2</v>
      </c>
      <c r="H113" s="68">
        <f>Helicoil!I114</f>
        <v>14.56</v>
      </c>
      <c r="I113" s="61">
        <f>Helicoil!J114/1000</f>
        <v>1.4500000000000001E-2</v>
      </c>
      <c r="J113" s="61">
        <f>Helicoil!K114/1000</f>
        <v>2.7199999999999998E-2</v>
      </c>
      <c r="K113" s="61">
        <f>Helicoil!L114/1000</f>
        <v>1.5949999999999999E-2</v>
      </c>
      <c r="L113" s="31">
        <f>(Tabla1[[#This Row],[d1_min]]+Tabla1[[#This Row],[d1_max]])/2</f>
        <v>1.7000000000000001E-2</v>
      </c>
      <c r="M113" s="106">
        <f>(Tabla1[[#This Row],[D1Hc_min]]+Tabla1[[#This Row],[D1Hc_max]]/1000)/2</f>
        <v>1.447E-2</v>
      </c>
      <c r="N113" s="31">
        <f>Tabla1[[#This Row],[W]]*1000</f>
        <v>15.7</v>
      </c>
    </row>
    <row r="114" spans="1:14" x14ac:dyDescent="0.3">
      <c r="A114" s="31">
        <f>Helicoil!A115</f>
        <v>14</v>
      </c>
      <c r="B114" s="61" t="s">
        <v>304</v>
      </c>
      <c r="C114" s="61">
        <f>A114*2.5 /1000</f>
        <v>3.5000000000000003E-2</v>
      </c>
      <c r="D114" s="61">
        <f>Helicoil!E115/1000</f>
        <v>1.9899999999999998E-2</v>
      </c>
      <c r="E114" s="61">
        <f>Helicoil!F115/1000</f>
        <v>1.6800000000000002E-2</v>
      </c>
      <c r="F114" s="61">
        <f>Helicoil!G115/1000</f>
        <v>1.72E-2</v>
      </c>
      <c r="G114" s="61">
        <f>Helicoil!H115/1000</f>
        <v>1.438E-2</v>
      </c>
      <c r="H114" s="68">
        <f>Helicoil!I115</f>
        <v>14.56</v>
      </c>
      <c r="I114" s="61">
        <f>Helicoil!J115/1000</f>
        <v>1.4500000000000001E-2</v>
      </c>
      <c r="J114" s="61">
        <f>Helicoil!K115/1000</f>
        <v>3.4200000000000001E-2</v>
      </c>
      <c r="K114" s="61">
        <f>Helicoil!L115/1000</f>
        <v>1.5949999999999999E-2</v>
      </c>
      <c r="L114" s="31">
        <f>(Tabla1[[#This Row],[d1_min]]+Tabla1[[#This Row],[d1_max]])/2</f>
        <v>1.7000000000000001E-2</v>
      </c>
      <c r="M114" s="106">
        <f>(Tabla1[[#This Row],[D1Hc_min]]+Tabla1[[#This Row],[D1Hc_max]]/1000)/2</f>
        <v>1.447E-2</v>
      </c>
      <c r="N114" s="31">
        <f>Tabla1[[#This Row],[W]]*1000</f>
        <v>19.899999999999999</v>
      </c>
    </row>
    <row r="115" spans="1:14" x14ac:dyDescent="0.3">
      <c r="A115" s="31">
        <f>Helicoil!A117</f>
        <v>16</v>
      </c>
      <c r="B115" s="61" t="s">
        <v>301</v>
      </c>
      <c r="C115" s="31">
        <f t="shared" ref="C115" si="3">A115*1 /1000</f>
        <v>1.6E-2</v>
      </c>
      <c r="D115" s="61">
        <f>Helicoil!E117/1000</f>
        <v>6.4999999999999997E-3</v>
      </c>
      <c r="E115" s="61">
        <f>Helicoil!F117/1000</f>
        <v>1.9E-2</v>
      </c>
      <c r="F115" s="61">
        <f>Helicoil!G117/1000</f>
        <v>1.9399999999999997E-2</v>
      </c>
      <c r="G115" s="61">
        <f>Helicoil!H117/1000</f>
        <v>1.643E-2</v>
      </c>
      <c r="H115" s="68">
        <f>Helicoil!I117</f>
        <v>16.73</v>
      </c>
      <c r="I115" s="61">
        <f>Helicoil!J117/1000</f>
        <v>1.6500000000000001E-2</v>
      </c>
      <c r="J115" s="61">
        <f>Helicoil!K117/1000</f>
        <v>1.4999999999999999E-2</v>
      </c>
      <c r="K115" s="61">
        <f>Helicoil!L117/1000</f>
        <v>1.8600000000000002E-2</v>
      </c>
      <c r="L115" s="61">
        <f>(Tabla1[[#This Row],[d1_min]]+Tabla1[[#This Row],[d1_max]])/2</f>
        <v>1.9199999999999998E-2</v>
      </c>
      <c r="M115" s="61">
        <f>(Tabla1[[#This Row],[D1Hc_min]]+Tabla1[[#This Row],[D1Hc_max]]/1000)/2</f>
        <v>1.6580000000000001E-2</v>
      </c>
      <c r="N115" s="61">
        <f>Tabla1[[#This Row],[W]]*1000</f>
        <v>6.5</v>
      </c>
    </row>
    <row r="116" spans="1:14" x14ac:dyDescent="0.3">
      <c r="A116" s="31">
        <f>Helicoil!A118</f>
        <v>16</v>
      </c>
      <c r="B116" s="61" t="s">
        <v>302</v>
      </c>
      <c r="C116" s="61">
        <f>A116*1.5 /1000</f>
        <v>2.4E-2</v>
      </c>
      <c r="D116" s="31">
        <f>Helicoil!E118/1000</f>
        <v>1.01E-2</v>
      </c>
      <c r="E116" s="31">
        <f>Helicoil!F118/1000</f>
        <v>1.9E-2</v>
      </c>
      <c r="F116" s="31">
        <f>Helicoil!G118/1000</f>
        <v>1.9399999999999997E-2</v>
      </c>
      <c r="G116" s="31">
        <f>Helicoil!H118/1000</f>
        <v>1.643E-2</v>
      </c>
      <c r="H116" s="69">
        <f>Helicoil!I118</f>
        <v>16.73</v>
      </c>
      <c r="I116" s="31">
        <f>Helicoil!J118/1000</f>
        <v>1.6500000000000001E-2</v>
      </c>
      <c r="J116" s="31">
        <f>Helicoil!K118/1000</f>
        <v>2.3E-2</v>
      </c>
      <c r="K116" s="31">
        <f>Helicoil!L118/1000</f>
        <v>1.8600000000000002E-2</v>
      </c>
      <c r="L116" s="31">
        <f>(Tabla1[[#This Row],[d1_min]]+Tabla1[[#This Row],[d1_max]])/2</f>
        <v>1.9199999999999998E-2</v>
      </c>
      <c r="M116" s="31">
        <f>(Tabla1[[#This Row],[D1Hc_min]]+Tabla1[[#This Row],[D1Hc_max]]/1000)/2</f>
        <v>1.6580000000000001E-2</v>
      </c>
      <c r="N116" s="31">
        <f>Tabla1[[#This Row],[W]]*1000</f>
        <v>10.1</v>
      </c>
    </row>
    <row r="117" spans="1:14" x14ac:dyDescent="0.3">
      <c r="A117" s="31">
        <f>Helicoil!A119</f>
        <v>16</v>
      </c>
      <c r="B117" s="61" t="s">
        <v>303</v>
      </c>
      <c r="C117" s="61">
        <f>A117*2 /1000</f>
        <v>3.2000000000000001E-2</v>
      </c>
      <c r="D117" s="31">
        <f>Helicoil!E119/1000</f>
        <v>1.3800000000000002E-2</v>
      </c>
      <c r="E117" s="31">
        <f>Helicoil!F119/1000</f>
        <v>1.9E-2</v>
      </c>
      <c r="F117" s="31">
        <f>Helicoil!G119/1000</f>
        <v>1.9399999999999997E-2</v>
      </c>
      <c r="G117" s="31">
        <f>Helicoil!H119/1000</f>
        <v>1.643E-2</v>
      </c>
      <c r="H117" s="69">
        <f>Helicoil!I119</f>
        <v>16.73</v>
      </c>
      <c r="I117" s="31">
        <f>Helicoil!J119/1000</f>
        <v>1.6500000000000001E-2</v>
      </c>
      <c r="J117" s="31">
        <f>Helicoil!K119/1000</f>
        <v>3.1E-2</v>
      </c>
      <c r="K117" s="31">
        <f>Helicoil!L119/1000</f>
        <v>1.8600000000000002E-2</v>
      </c>
      <c r="L117" s="31">
        <f>(Tabla1[[#This Row],[d1_min]]+Tabla1[[#This Row],[d1_max]])/2</f>
        <v>1.9199999999999998E-2</v>
      </c>
      <c r="M117" s="31">
        <f>(Tabla1[[#This Row],[D1Hc_min]]+Tabla1[[#This Row],[D1Hc_max]]/1000)/2</f>
        <v>1.6580000000000001E-2</v>
      </c>
      <c r="N117" s="31">
        <f>Tabla1[[#This Row],[W]]*1000</f>
        <v>13.8</v>
      </c>
    </row>
    <row r="118" spans="1:14" x14ac:dyDescent="0.3">
      <c r="A118" s="31">
        <f>Helicoil!A120</f>
        <v>16</v>
      </c>
      <c r="B118" s="61" t="s">
        <v>304</v>
      </c>
      <c r="C118" s="61">
        <f>A118*2.5 /1000</f>
        <v>0.04</v>
      </c>
      <c r="D118" s="31">
        <f>Helicoil!E120/1000</f>
        <v>1.7500000000000002E-2</v>
      </c>
      <c r="E118" s="31">
        <f>Helicoil!F120/1000</f>
        <v>1.9E-2</v>
      </c>
      <c r="F118" s="31">
        <f>Helicoil!G120/1000</f>
        <v>1.9399999999999997E-2</v>
      </c>
      <c r="G118" s="31">
        <f>Helicoil!H120/1000</f>
        <v>1.643E-2</v>
      </c>
      <c r="H118" s="69">
        <f>Helicoil!I120</f>
        <v>16.73</v>
      </c>
      <c r="I118" s="31">
        <f>Helicoil!J120/1000</f>
        <v>1.6500000000000001E-2</v>
      </c>
      <c r="J118" s="31">
        <f>Helicoil!K120/1000</f>
        <v>3.9E-2</v>
      </c>
      <c r="K118" s="31">
        <f>Helicoil!L120/1000</f>
        <v>1.8600000000000002E-2</v>
      </c>
      <c r="L118" s="31">
        <f>(Tabla1[[#This Row],[d1_min]]+Tabla1[[#This Row],[d1_max]])/2</f>
        <v>1.9199999999999998E-2</v>
      </c>
      <c r="M118" s="31">
        <f>(Tabla1[[#This Row],[D1Hc_min]]+Tabla1[[#This Row],[D1Hc_max]]/1000)/2</f>
        <v>1.6580000000000001E-2</v>
      </c>
      <c r="N118" s="31">
        <f>Tabla1[[#This Row],[W]]*1000</f>
        <v>17.5</v>
      </c>
    </row>
    <row r="119" spans="1:14" x14ac:dyDescent="0.3">
      <c r="A119" s="31">
        <f>Helicoil!A122</f>
        <v>16</v>
      </c>
      <c r="B119" s="61" t="s">
        <v>301</v>
      </c>
      <c r="C119" s="31">
        <f t="shared" ref="C119" si="4">A119*1 /1000</f>
        <v>1.6E-2</v>
      </c>
      <c r="D119" s="31">
        <f>Helicoil!E122/1000</f>
        <v>8.6999999999999994E-3</v>
      </c>
      <c r="E119" s="31">
        <f>Helicoil!F122/1000</f>
        <v>1.9E-2</v>
      </c>
      <c r="F119" s="31">
        <f>Helicoil!G122/1000</f>
        <v>1.9399999999999997E-2</v>
      </c>
      <c r="G119" s="31">
        <f>Helicoil!H122/1000</f>
        <v>1.6320000000000001E-2</v>
      </c>
      <c r="H119" s="69">
        <f>Helicoil!I122</f>
        <v>16.559999999999999</v>
      </c>
      <c r="I119" s="31">
        <f>Helicoil!J122/1000</f>
        <v>1.6500000000000001E-2</v>
      </c>
      <c r="J119" s="31">
        <f>Helicoil!K122/1000</f>
        <v>1.52E-2</v>
      </c>
      <c r="K119" s="31">
        <f>Helicoil!L122/1000</f>
        <v>1.7950000000000001E-2</v>
      </c>
      <c r="L119" s="31">
        <f>(Tabla1[[#This Row],[d1_min]]+Tabla1[[#This Row],[d1_max]])/2</f>
        <v>1.9199999999999998E-2</v>
      </c>
      <c r="M119" s="31">
        <f>(Tabla1[[#This Row],[D1Hc_min]]+Tabla1[[#This Row],[D1Hc_max]]/1000)/2</f>
        <v>1.644E-2</v>
      </c>
      <c r="N119" s="31">
        <f>Tabla1[[#This Row],[W]]*1000</f>
        <v>8.6999999999999993</v>
      </c>
    </row>
    <row r="120" spans="1:14" x14ac:dyDescent="0.3">
      <c r="A120" s="31">
        <f>Helicoil!A123</f>
        <v>16</v>
      </c>
      <c r="B120" s="61" t="s">
        <v>302</v>
      </c>
      <c r="C120" s="61">
        <f>A120*1.5 /1000</f>
        <v>2.4E-2</v>
      </c>
      <c r="D120" s="31">
        <f>Helicoil!E123/1000</f>
        <v>1.34E-2</v>
      </c>
      <c r="E120" s="31">
        <f>Helicoil!F123/1000</f>
        <v>1.9E-2</v>
      </c>
      <c r="F120" s="31">
        <f>Helicoil!G123/1000</f>
        <v>1.9399999999999997E-2</v>
      </c>
      <c r="G120" s="31">
        <f>Helicoil!H123/1000</f>
        <v>1.6320000000000001E-2</v>
      </c>
      <c r="H120" s="69">
        <f>Helicoil!I123</f>
        <v>16.559999999999999</v>
      </c>
      <c r="I120" s="31">
        <f>Helicoil!J123/1000</f>
        <v>1.6500000000000001E-2</v>
      </c>
      <c r="J120" s="31">
        <f>Helicoil!K123/1000</f>
        <v>2.3199999999999998E-2</v>
      </c>
      <c r="K120" s="31">
        <f>Helicoil!L123/1000</f>
        <v>1.7950000000000001E-2</v>
      </c>
      <c r="L120" s="31">
        <f>(Tabla1[[#This Row],[d1_min]]+Tabla1[[#This Row],[d1_max]])/2</f>
        <v>1.9199999999999998E-2</v>
      </c>
      <c r="M120" s="31">
        <f>(Tabla1[[#This Row],[D1Hc_min]]+Tabla1[[#This Row],[D1Hc_max]]/1000)/2</f>
        <v>1.644E-2</v>
      </c>
      <c r="N120" s="31">
        <f>Tabla1[[#This Row],[W]]*1000</f>
        <v>13.4</v>
      </c>
    </row>
    <row r="121" spans="1:14" x14ac:dyDescent="0.3">
      <c r="A121" s="31">
        <f>Helicoil!A124</f>
        <v>16</v>
      </c>
      <c r="B121" s="61" t="s">
        <v>303</v>
      </c>
      <c r="C121" s="61">
        <f>A121*2 /1000</f>
        <v>3.2000000000000001E-2</v>
      </c>
      <c r="D121" s="31">
        <f>Helicoil!E124/1000</f>
        <v>1.8100000000000002E-2</v>
      </c>
      <c r="E121" s="31">
        <f>Helicoil!F124/1000</f>
        <v>1.9E-2</v>
      </c>
      <c r="F121" s="31">
        <f>Helicoil!G124/1000</f>
        <v>1.9399999999999997E-2</v>
      </c>
      <c r="G121" s="31">
        <f>Helicoil!H124/1000</f>
        <v>1.6320000000000001E-2</v>
      </c>
      <c r="H121" s="69">
        <f>Helicoil!I124</f>
        <v>16.559999999999999</v>
      </c>
      <c r="I121" s="31">
        <f>Helicoil!J124/1000</f>
        <v>1.6500000000000001E-2</v>
      </c>
      <c r="J121" s="31">
        <f>Helicoil!K124/1000</f>
        <v>3.1199999999999999E-2</v>
      </c>
      <c r="K121" s="31">
        <f>Helicoil!L124/1000</f>
        <v>1.7950000000000001E-2</v>
      </c>
      <c r="L121" s="31">
        <f>(Tabla1[[#This Row],[d1_min]]+Tabla1[[#This Row],[d1_max]])/2</f>
        <v>1.9199999999999998E-2</v>
      </c>
      <c r="M121" s="31">
        <f>(Tabla1[[#This Row],[D1Hc_min]]+Tabla1[[#This Row],[D1Hc_max]]/1000)/2</f>
        <v>1.644E-2</v>
      </c>
      <c r="N121" s="31">
        <f>Tabla1[[#This Row],[W]]*1000</f>
        <v>18.100000000000001</v>
      </c>
    </row>
    <row r="122" spans="1:14" x14ac:dyDescent="0.3">
      <c r="A122" s="31">
        <f>Helicoil!A125</f>
        <v>16</v>
      </c>
      <c r="B122" s="61" t="s">
        <v>304</v>
      </c>
      <c r="C122" s="61">
        <f>A122*2.5 /1000</f>
        <v>0.04</v>
      </c>
      <c r="D122" s="31">
        <f>Helicoil!E125/1000</f>
        <v>2.29E-2</v>
      </c>
      <c r="E122" s="31">
        <f>Helicoil!F125/1000</f>
        <v>1.9E-2</v>
      </c>
      <c r="F122" s="31">
        <f>Helicoil!G125/1000</f>
        <v>1.9399999999999997E-2</v>
      </c>
      <c r="G122" s="31">
        <f>Helicoil!H125/1000</f>
        <v>1.6320000000000001E-2</v>
      </c>
      <c r="H122" s="69">
        <f>Helicoil!I125</f>
        <v>16.559999999999999</v>
      </c>
      <c r="I122" s="31">
        <f>Helicoil!J125/1000</f>
        <v>1.6500000000000001E-2</v>
      </c>
      <c r="J122" s="31">
        <f>Helicoil!K125/1000</f>
        <v>3.9200000000000006E-2</v>
      </c>
      <c r="K122" s="31">
        <f>Helicoil!L125/1000</f>
        <v>1.7950000000000001E-2</v>
      </c>
      <c r="L122" s="31">
        <f>(Tabla1[[#This Row],[d1_min]]+Tabla1[[#This Row],[d1_max]])/2</f>
        <v>1.9199999999999998E-2</v>
      </c>
      <c r="M122" s="31">
        <f>(Tabla1[[#This Row],[D1Hc_min]]+Tabla1[[#This Row],[D1Hc_max]]/1000)/2</f>
        <v>1.644E-2</v>
      </c>
      <c r="N122" s="31">
        <f>Tabla1[[#This Row],[W]]*1000</f>
        <v>22.9</v>
      </c>
    </row>
    <row r="123" spans="1:14" x14ac:dyDescent="0.3">
      <c r="A123" s="31"/>
      <c r="B123" s="61"/>
      <c r="C123" s="61"/>
      <c r="D123" s="61"/>
      <c r="E123" s="61"/>
      <c r="F123" s="61"/>
      <c r="G123" s="61"/>
      <c r="H123" s="68"/>
      <c r="I123" s="61"/>
      <c r="J123" s="61"/>
      <c r="K123" s="61"/>
      <c r="L123" s="61"/>
      <c r="M123" s="61"/>
      <c r="N123" s="6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0F6E-78BC-4D01-9603-D5A9F393E913}">
  <dimension ref="A1:X21"/>
  <sheetViews>
    <sheetView zoomScale="85" zoomScaleNormal="85" workbookViewId="0">
      <selection activeCell="B9" sqref="B9"/>
    </sheetView>
  </sheetViews>
  <sheetFormatPr baseColWidth="10" defaultRowHeight="14.4" x14ac:dyDescent="0.3"/>
  <cols>
    <col min="2" max="2" width="11.6640625" customWidth="1"/>
    <col min="6" max="6" width="24.88671875" customWidth="1"/>
  </cols>
  <sheetData>
    <row r="1" spans="1:24" ht="15" thickBot="1" x14ac:dyDescent="0.35">
      <c r="A1" s="86" t="s">
        <v>752</v>
      </c>
      <c r="B1" s="22" t="s">
        <v>753</v>
      </c>
      <c r="C1" s="84" t="s">
        <v>754</v>
      </c>
      <c r="D1" s="84" t="s">
        <v>755</v>
      </c>
      <c r="E1" s="85" t="s">
        <v>756</v>
      </c>
      <c r="F1" s="85" t="s">
        <v>757</v>
      </c>
      <c r="G1" s="85" t="s">
        <v>758</v>
      </c>
      <c r="H1" s="85" t="s">
        <v>759</v>
      </c>
      <c r="I1" s="85" t="s">
        <v>760</v>
      </c>
      <c r="J1" s="85" t="s">
        <v>761</v>
      </c>
      <c r="K1" s="85" t="s">
        <v>762</v>
      </c>
      <c r="L1" s="85" t="s">
        <v>763</v>
      </c>
      <c r="M1" s="85" t="s">
        <v>764</v>
      </c>
      <c r="N1" s="85" t="s">
        <v>765</v>
      </c>
      <c r="O1" s="85" t="s">
        <v>766</v>
      </c>
      <c r="P1" s="85" t="s">
        <v>767</v>
      </c>
      <c r="Q1" s="85" t="s">
        <v>768</v>
      </c>
      <c r="R1" s="85" t="s">
        <v>769</v>
      </c>
      <c r="S1" s="85" t="s">
        <v>770</v>
      </c>
      <c r="T1" s="85" t="s">
        <v>771</v>
      </c>
      <c r="U1" s="85" t="s">
        <v>772</v>
      </c>
      <c r="V1" s="108" t="s">
        <v>773</v>
      </c>
      <c r="W1" s="110" t="s">
        <v>774</v>
      </c>
      <c r="X1" s="110" t="s">
        <v>775</v>
      </c>
    </row>
    <row r="2" spans="1:24" ht="15" thickBot="1" x14ac:dyDescent="0.35">
      <c r="A2" s="87" t="s">
        <v>24</v>
      </c>
      <c r="B2" s="22">
        <v>1.6</v>
      </c>
      <c r="C2" s="85">
        <v>0.35</v>
      </c>
      <c r="D2" s="111">
        <v>15</v>
      </c>
      <c r="E2" s="111">
        <v>3</v>
      </c>
      <c r="F2" s="111">
        <v>3.14</v>
      </c>
      <c r="G2" s="111">
        <v>2.86</v>
      </c>
      <c r="H2" s="111">
        <v>2</v>
      </c>
      <c r="I2" s="111">
        <v>1.6</v>
      </c>
      <c r="J2" s="111">
        <v>1.46</v>
      </c>
      <c r="K2" s="111">
        <v>1.7330000000000001</v>
      </c>
      <c r="L2" s="111">
        <v>0.34</v>
      </c>
      <c r="M2" s="111">
        <v>1.6</v>
      </c>
      <c r="N2" s="111">
        <v>1.46</v>
      </c>
      <c r="O2" s="111">
        <v>0.1</v>
      </c>
      <c r="P2" s="111">
        <v>1.5</v>
      </c>
      <c r="Q2" s="111">
        <v>1.58</v>
      </c>
      <c r="R2" s="111">
        <v>1.52</v>
      </c>
      <c r="S2" s="111">
        <v>0.7</v>
      </c>
      <c r="T2" s="111">
        <v>0.16</v>
      </c>
      <c r="U2" s="111">
        <v>2.72</v>
      </c>
      <c r="V2" s="112">
        <v>0.55000000000000004</v>
      </c>
      <c r="W2" s="113">
        <f>(Tabla4[[#This Row],[`dk max.`]]+Tabla4[[#This Row],[`dk min.`]])/2</f>
        <v>2.9299999999999997</v>
      </c>
      <c r="X2" s="113">
        <f>(Tabla4[[#This Row],[`k max.`]]+Tabla4[[#This Row],[`k min.`]])/2</f>
        <v>1.53</v>
      </c>
    </row>
    <row r="3" spans="1:24" ht="15" thickBot="1" x14ac:dyDescent="0.35">
      <c r="A3" s="87" t="s">
        <v>26</v>
      </c>
      <c r="B3" s="22">
        <v>2</v>
      </c>
      <c r="C3" s="85">
        <v>0.4</v>
      </c>
      <c r="D3" s="111">
        <v>16</v>
      </c>
      <c r="E3" s="111">
        <v>3.8</v>
      </c>
      <c r="F3" s="111">
        <v>3.98</v>
      </c>
      <c r="G3" s="111">
        <v>3.62</v>
      </c>
      <c r="H3" s="111">
        <v>2.6</v>
      </c>
      <c r="I3" s="111">
        <v>2</v>
      </c>
      <c r="J3" s="111">
        <v>1.86</v>
      </c>
      <c r="K3" s="111">
        <v>1.7330000000000001</v>
      </c>
      <c r="L3" s="111">
        <v>0.51</v>
      </c>
      <c r="M3" s="111">
        <v>2</v>
      </c>
      <c r="N3" s="111">
        <v>1.86</v>
      </c>
      <c r="O3" s="111">
        <v>0.1</v>
      </c>
      <c r="P3" s="111">
        <v>1.5</v>
      </c>
      <c r="Q3" s="111">
        <v>1.58</v>
      </c>
      <c r="R3" s="111">
        <v>1.52</v>
      </c>
      <c r="S3" s="111">
        <v>1</v>
      </c>
      <c r="T3" s="111">
        <v>0.2</v>
      </c>
      <c r="U3" s="111">
        <v>3.48</v>
      </c>
      <c r="V3" s="112">
        <v>0.55000000000000004</v>
      </c>
      <c r="W3" s="111">
        <f>(Tabla4[[#This Row],[`dk max.`]]+Tabla4[[#This Row],[`dk min.`]])/2</f>
        <v>3.71</v>
      </c>
      <c r="X3" s="111">
        <f>(Tabla4[[#This Row],[`k max.`]]+Tabla4[[#This Row],[`k min.`]])/2</f>
        <v>1.9300000000000002</v>
      </c>
    </row>
    <row r="4" spans="1:24" ht="15" thickBot="1" x14ac:dyDescent="0.35">
      <c r="A4" s="87" t="s">
        <v>27</v>
      </c>
      <c r="B4" s="22">
        <v>2.5</v>
      </c>
      <c r="C4" s="85">
        <v>0.45</v>
      </c>
      <c r="D4" s="111">
        <v>17</v>
      </c>
      <c r="E4" s="111">
        <v>4.5</v>
      </c>
      <c r="F4" s="111">
        <v>4.68</v>
      </c>
      <c r="G4" s="111">
        <v>4.32</v>
      </c>
      <c r="H4" s="111">
        <v>3.1</v>
      </c>
      <c r="I4" s="111">
        <v>2.5</v>
      </c>
      <c r="J4" s="111">
        <v>2.36</v>
      </c>
      <c r="K4" s="111">
        <v>2.3029999999999999</v>
      </c>
      <c r="L4" s="111">
        <v>0.51</v>
      </c>
      <c r="M4" s="111">
        <v>2.5</v>
      </c>
      <c r="N4" s="111">
        <v>2.36</v>
      </c>
      <c r="O4" s="111">
        <v>0.1</v>
      </c>
      <c r="P4" s="111">
        <v>2</v>
      </c>
      <c r="Q4" s="111">
        <v>2.08</v>
      </c>
      <c r="R4" s="111">
        <v>2.02</v>
      </c>
      <c r="S4" s="111">
        <v>1.1000000000000001</v>
      </c>
      <c r="T4" s="111">
        <v>0.25</v>
      </c>
      <c r="U4" s="111">
        <v>4.18</v>
      </c>
      <c r="V4" s="112">
        <v>0.85</v>
      </c>
      <c r="W4" s="111">
        <f>(Tabla4[[#This Row],[`dk max.`]]+Tabla4[[#This Row],[`dk min.`]])/2</f>
        <v>4.41</v>
      </c>
      <c r="X4" s="111">
        <f>(Tabla4[[#This Row],[`k max.`]]+Tabla4[[#This Row],[`k min.`]])/2</f>
        <v>2.4299999999999997</v>
      </c>
    </row>
    <row r="5" spans="1:24" ht="15" thickBot="1" x14ac:dyDescent="0.35">
      <c r="A5" s="87" t="s">
        <v>28</v>
      </c>
      <c r="B5" s="22">
        <v>3</v>
      </c>
      <c r="C5" s="85">
        <v>0.5</v>
      </c>
      <c r="D5" s="111">
        <v>18</v>
      </c>
      <c r="E5" s="111">
        <v>5.5</v>
      </c>
      <c r="F5" s="111">
        <v>5.68</v>
      </c>
      <c r="G5" s="111">
        <v>5.32</v>
      </c>
      <c r="H5" s="111">
        <v>3.6</v>
      </c>
      <c r="I5" s="111">
        <v>3</v>
      </c>
      <c r="J5" s="111">
        <v>2.86</v>
      </c>
      <c r="K5" s="111">
        <v>2.8730000000000002</v>
      </c>
      <c r="L5" s="111">
        <v>0.51</v>
      </c>
      <c r="M5" s="111">
        <v>3</v>
      </c>
      <c r="N5" s="111">
        <v>2.86</v>
      </c>
      <c r="O5" s="111">
        <v>0.1</v>
      </c>
      <c r="P5" s="111">
        <v>2.5</v>
      </c>
      <c r="Q5" s="111">
        <v>2.58</v>
      </c>
      <c r="R5" s="111">
        <v>2.52</v>
      </c>
      <c r="S5" s="111">
        <v>1.3</v>
      </c>
      <c r="T5" s="111">
        <v>0.3</v>
      </c>
      <c r="U5" s="111">
        <v>5.07</v>
      </c>
      <c r="V5" s="112">
        <v>1.1499999999999999</v>
      </c>
      <c r="W5" s="111">
        <f>(Tabla4[[#This Row],[`dk max.`]]+Tabla4[[#This Row],[`dk min.`]])/2</f>
        <v>5.41</v>
      </c>
      <c r="X5" s="111">
        <f>(Tabla4[[#This Row],[`k max.`]]+Tabla4[[#This Row],[`k min.`]])/2</f>
        <v>2.9299999999999997</v>
      </c>
    </row>
    <row r="6" spans="1:24" ht="15" thickBot="1" x14ac:dyDescent="0.35">
      <c r="A6" s="87" t="s">
        <v>30</v>
      </c>
      <c r="B6" s="22">
        <v>4</v>
      </c>
      <c r="C6" s="85">
        <v>0.7</v>
      </c>
      <c r="D6" s="111">
        <v>20</v>
      </c>
      <c r="E6" s="111">
        <v>7</v>
      </c>
      <c r="F6" s="111">
        <v>7.22</v>
      </c>
      <c r="G6" s="111">
        <v>6.78</v>
      </c>
      <c r="H6" s="111">
        <v>4.7</v>
      </c>
      <c r="I6" s="111">
        <v>4</v>
      </c>
      <c r="J6" s="111">
        <v>3.82</v>
      </c>
      <c r="K6" s="111">
        <v>3.4430000000000001</v>
      </c>
      <c r="L6" s="111">
        <v>0.6</v>
      </c>
      <c r="M6" s="111">
        <v>4</v>
      </c>
      <c r="N6" s="111">
        <v>3.82</v>
      </c>
      <c r="O6" s="111">
        <v>0.2</v>
      </c>
      <c r="P6" s="111">
        <v>3</v>
      </c>
      <c r="Q6" s="111">
        <v>3.08</v>
      </c>
      <c r="R6" s="111">
        <v>3.02</v>
      </c>
      <c r="S6" s="111">
        <v>2</v>
      </c>
      <c r="T6" s="111">
        <v>0.4</v>
      </c>
      <c r="U6" s="111">
        <v>6.53</v>
      </c>
      <c r="V6" s="112">
        <v>1.4</v>
      </c>
      <c r="W6" s="111">
        <f>(Tabla4[[#This Row],[`dk max.`]]+Tabla4[[#This Row],[`dk min.`]])/2</f>
        <v>6.8900000000000006</v>
      </c>
      <c r="X6" s="111">
        <f>(Tabla4[[#This Row],[`k max.`]]+Tabla4[[#This Row],[`k min.`]])/2</f>
        <v>3.91</v>
      </c>
    </row>
    <row r="7" spans="1:24" ht="15" thickBot="1" x14ac:dyDescent="0.35">
      <c r="A7" s="87" t="s">
        <v>31</v>
      </c>
      <c r="B7" s="22">
        <v>5</v>
      </c>
      <c r="C7" s="85">
        <v>0.8</v>
      </c>
      <c r="D7" s="111">
        <v>22</v>
      </c>
      <c r="E7" s="111">
        <v>8.5</v>
      </c>
      <c r="F7" s="111">
        <v>8.7200000000000006</v>
      </c>
      <c r="G7" s="111">
        <v>8.2799999999999994</v>
      </c>
      <c r="H7" s="111">
        <v>5.7</v>
      </c>
      <c r="I7" s="111">
        <v>5</v>
      </c>
      <c r="J7" s="111">
        <v>4.82</v>
      </c>
      <c r="K7" s="111">
        <v>4.5830000000000002</v>
      </c>
      <c r="L7" s="111">
        <v>0.6</v>
      </c>
      <c r="M7" s="111">
        <v>5</v>
      </c>
      <c r="N7" s="111">
        <v>4.82</v>
      </c>
      <c r="O7" s="111">
        <v>0.2</v>
      </c>
      <c r="P7" s="111">
        <v>4</v>
      </c>
      <c r="Q7" s="111">
        <v>4.0949999999999998</v>
      </c>
      <c r="R7" s="111">
        <v>4.0199999999999996</v>
      </c>
      <c r="S7" s="111">
        <v>2.5</v>
      </c>
      <c r="T7" s="111">
        <v>0.5</v>
      </c>
      <c r="U7" s="111">
        <v>8.0299999999999994</v>
      </c>
      <c r="V7" s="112">
        <v>1.9</v>
      </c>
      <c r="W7" s="111">
        <f>(Tabla4[[#This Row],[`dk max.`]]+Tabla4[[#This Row],[`dk min.`]])/2</f>
        <v>8.39</v>
      </c>
      <c r="X7" s="111">
        <f>(Tabla4[[#This Row],[`k max.`]]+Tabla4[[#This Row],[`k min.`]])/2</f>
        <v>4.91</v>
      </c>
    </row>
    <row r="8" spans="1:24" ht="15" thickBot="1" x14ac:dyDescent="0.35">
      <c r="A8" s="87" t="s">
        <v>32</v>
      </c>
      <c r="B8" s="22">
        <v>6</v>
      </c>
      <c r="C8" s="85">
        <v>1</v>
      </c>
      <c r="D8" s="111">
        <v>24</v>
      </c>
      <c r="E8" s="111">
        <v>10</v>
      </c>
      <c r="F8" s="111">
        <v>10.220000000000001</v>
      </c>
      <c r="G8" s="111">
        <v>9.7799999999999994</v>
      </c>
      <c r="H8" s="111">
        <v>6.8</v>
      </c>
      <c r="I8" s="111">
        <v>6</v>
      </c>
      <c r="J8" s="111">
        <v>5.82</v>
      </c>
      <c r="K8" s="111">
        <v>5.7229999999999999</v>
      </c>
      <c r="L8" s="111">
        <v>0.68</v>
      </c>
      <c r="M8" s="111">
        <v>6</v>
      </c>
      <c r="N8" s="111">
        <v>5.7</v>
      </c>
      <c r="O8" s="111">
        <v>0.25</v>
      </c>
      <c r="P8" s="111">
        <v>5</v>
      </c>
      <c r="Q8" s="111">
        <v>5.14</v>
      </c>
      <c r="R8" s="111">
        <v>5.0199999999999996</v>
      </c>
      <c r="S8" s="111">
        <v>3</v>
      </c>
      <c r="T8" s="111">
        <v>0.6</v>
      </c>
      <c r="U8" s="111">
        <v>9.3800000000000008</v>
      </c>
      <c r="V8" s="112">
        <v>2.2999999999999998</v>
      </c>
      <c r="W8" s="111">
        <f>(Tabla4[[#This Row],[`dk max.`]]+Tabla4[[#This Row],[`dk min.`]])/2</f>
        <v>9.89</v>
      </c>
      <c r="X8" s="111">
        <f>(Tabla4[[#This Row],[`k max.`]]+Tabla4[[#This Row],[`k min.`]])/2</f>
        <v>5.85</v>
      </c>
    </row>
    <row r="9" spans="1:24" ht="15" thickBot="1" x14ac:dyDescent="0.35">
      <c r="A9" s="87" t="s">
        <v>34</v>
      </c>
      <c r="B9" s="22">
        <v>8</v>
      </c>
      <c r="C9" s="85">
        <v>1.25</v>
      </c>
      <c r="D9" s="111">
        <v>28</v>
      </c>
      <c r="E9" s="111">
        <v>13</v>
      </c>
      <c r="F9" s="111">
        <v>13.27</v>
      </c>
      <c r="G9" s="111">
        <v>12.73</v>
      </c>
      <c r="H9" s="111">
        <v>9.1999999999999993</v>
      </c>
      <c r="I9" s="111">
        <v>8</v>
      </c>
      <c r="J9" s="111">
        <v>7.78</v>
      </c>
      <c r="K9" s="111">
        <v>6.8630000000000004</v>
      </c>
      <c r="L9" s="111">
        <v>1.02</v>
      </c>
      <c r="M9" s="111">
        <v>8</v>
      </c>
      <c r="N9" s="111">
        <v>7.64</v>
      </c>
      <c r="O9" s="111">
        <v>0.4</v>
      </c>
      <c r="P9" s="111">
        <v>6</v>
      </c>
      <c r="Q9" s="111">
        <v>6.14</v>
      </c>
      <c r="R9" s="111">
        <v>6.02</v>
      </c>
      <c r="S9" s="111">
        <v>4</v>
      </c>
      <c r="T9" s="111">
        <v>0.8</v>
      </c>
      <c r="U9" s="111">
        <v>12.33</v>
      </c>
      <c r="V9" s="112">
        <v>3.3</v>
      </c>
      <c r="W9" s="111">
        <f>(Tabla4[[#This Row],[`dk max.`]]+Tabla4[[#This Row],[`dk min.`]])/2</f>
        <v>12.865</v>
      </c>
      <c r="X9" s="111">
        <f>(Tabla4[[#This Row],[`k max.`]]+Tabla4[[#This Row],[`k min.`]])/2</f>
        <v>7.82</v>
      </c>
    </row>
    <row r="10" spans="1:24" ht="15" thickBot="1" x14ac:dyDescent="0.35">
      <c r="A10" s="87" t="s">
        <v>35</v>
      </c>
      <c r="B10" s="22">
        <v>10</v>
      </c>
      <c r="C10" s="85">
        <v>1.5</v>
      </c>
      <c r="D10" s="111">
        <v>32</v>
      </c>
      <c r="E10" s="111">
        <v>16</v>
      </c>
      <c r="F10" s="111">
        <v>16.27</v>
      </c>
      <c r="G10" s="111">
        <v>15.73</v>
      </c>
      <c r="H10" s="111">
        <v>11.2</v>
      </c>
      <c r="I10" s="111">
        <v>10</v>
      </c>
      <c r="J10" s="111">
        <v>9.7799999999999994</v>
      </c>
      <c r="K10" s="111">
        <v>9.1489999999999991</v>
      </c>
      <c r="L10" s="111">
        <v>1.02</v>
      </c>
      <c r="M10" s="111">
        <v>10</v>
      </c>
      <c r="N10" s="111">
        <v>9.64</v>
      </c>
      <c r="O10" s="111">
        <v>0.4</v>
      </c>
      <c r="P10" s="111">
        <v>8</v>
      </c>
      <c r="Q10" s="111">
        <v>8.1750000000000007</v>
      </c>
      <c r="R10" s="111">
        <v>8.0250000000000004</v>
      </c>
      <c r="S10" s="111">
        <v>5</v>
      </c>
      <c r="T10" s="111">
        <v>1</v>
      </c>
      <c r="U10" s="111">
        <v>15.33</v>
      </c>
      <c r="V10" s="112">
        <v>4</v>
      </c>
      <c r="W10" s="111">
        <f>(Tabla4[[#This Row],[`dk max.`]]+Tabla4[[#This Row],[`dk min.`]])/2</f>
        <v>15.865</v>
      </c>
      <c r="X10" s="111">
        <f>(Tabla4[[#This Row],[`k max.`]]+Tabla4[[#This Row],[`k min.`]])/2</f>
        <v>9.82</v>
      </c>
    </row>
    <row r="11" spans="1:24" ht="15" thickBot="1" x14ac:dyDescent="0.35">
      <c r="A11" s="87" t="s">
        <v>36</v>
      </c>
      <c r="B11" s="22">
        <v>12</v>
      </c>
      <c r="C11" s="85">
        <v>1.75</v>
      </c>
      <c r="D11" s="111">
        <v>36</v>
      </c>
      <c r="E11" s="111">
        <v>18</v>
      </c>
      <c r="F11" s="111">
        <v>18.27</v>
      </c>
      <c r="G11" s="111">
        <v>17.73</v>
      </c>
      <c r="H11" s="111">
        <v>13.7</v>
      </c>
      <c r="I11" s="111">
        <v>12</v>
      </c>
      <c r="J11" s="111">
        <v>11.73</v>
      </c>
      <c r="K11" s="111">
        <v>11.429</v>
      </c>
      <c r="L11" s="111">
        <v>1.45</v>
      </c>
      <c r="M11" s="111">
        <v>12</v>
      </c>
      <c r="N11" s="111">
        <v>11.57</v>
      </c>
      <c r="O11" s="111">
        <v>0.6</v>
      </c>
      <c r="P11" s="111">
        <v>10</v>
      </c>
      <c r="Q11" s="111">
        <v>10.175000000000001</v>
      </c>
      <c r="R11" s="111">
        <v>10.025</v>
      </c>
      <c r="S11" s="111">
        <v>6</v>
      </c>
      <c r="T11" s="111">
        <v>1.2</v>
      </c>
      <c r="U11" s="111">
        <v>17.23</v>
      </c>
      <c r="V11" s="112">
        <v>4.8</v>
      </c>
      <c r="W11" s="111">
        <f>(Tabla4[[#This Row],[`dk max.`]]+Tabla4[[#This Row],[`dk min.`]])/2</f>
        <v>17.865000000000002</v>
      </c>
      <c r="X11" s="111">
        <f>(Tabla4[[#This Row],[`k max.`]]+Tabla4[[#This Row],[`k min.`]])/2</f>
        <v>11.785</v>
      </c>
    </row>
    <row r="12" spans="1:24" ht="15" thickBot="1" x14ac:dyDescent="0.35">
      <c r="A12" s="87" t="s">
        <v>346</v>
      </c>
      <c r="B12" s="22">
        <v>14</v>
      </c>
      <c r="C12" s="85">
        <v>2</v>
      </c>
      <c r="D12" s="111">
        <v>40</v>
      </c>
      <c r="E12" s="111">
        <v>21</v>
      </c>
      <c r="F12" s="111">
        <v>21.33</v>
      </c>
      <c r="G12" s="111">
        <v>20.67</v>
      </c>
      <c r="H12" s="111">
        <v>15.7</v>
      </c>
      <c r="I12" s="111">
        <v>14</v>
      </c>
      <c r="J12" s="111">
        <v>13.73</v>
      </c>
      <c r="K12" s="111">
        <v>13.715999999999999</v>
      </c>
      <c r="L12" s="111">
        <v>1.45</v>
      </c>
      <c r="M12" s="111">
        <v>14</v>
      </c>
      <c r="N12" s="111">
        <v>13.57</v>
      </c>
      <c r="O12" s="111">
        <v>0.6</v>
      </c>
      <c r="P12" s="111">
        <v>12</v>
      </c>
      <c r="Q12" s="111">
        <v>12.212</v>
      </c>
      <c r="R12" s="111">
        <v>12.032</v>
      </c>
      <c r="S12" s="111">
        <v>7</v>
      </c>
      <c r="T12" s="111">
        <v>1.4</v>
      </c>
      <c r="U12" s="111">
        <v>20.170000000000002</v>
      </c>
      <c r="V12" s="112">
        <v>5.8</v>
      </c>
      <c r="W12" s="111">
        <f>(Tabla4[[#This Row],[`dk max.`]]+Tabla4[[#This Row],[`dk min.`]])/2</f>
        <v>20.835000000000001</v>
      </c>
      <c r="X12" s="111">
        <f>(Tabla4[[#This Row],[`k max.`]]+Tabla4[[#This Row],[`k min.`]])/2</f>
        <v>13.785</v>
      </c>
    </row>
    <row r="13" spans="1:24" ht="15" thickBot="1" x14ac:dyDescent="0.35">
      <c r="A13" s="87" t="s">
        <v>38</v>
      </c>
      <c r="B13" s="22">
        <v>16</v>
      </c>
      <c r="C13" s="85">
        <v>2</v>
      </c>
      <c r="D13" s="111">
        <v>44</v>
      </c>
      <c r="E13" s="111">
        <v>24</v>
      </c>
      <c r="F13" s="111">
        <v>24.33</v>
      </c>
      <c r="G13" s="111">
        <v>23.67</v>
      </c>
      <c r="H13" s="111">
        <v>17.7</v>
      </c>
      <c r="I13" s="111">
        <v>16</v>
      </c>
      <c r="J13" s="111">
        <v>15.73</v>
      </c>
      <c r="K13" s="111">
        <v>15.996</v>
      </c>
      <c r="L13" s="111">
        <v>1.45</v>
      </c>
      <c r="M13" s="111">
        <v>16</v>
      </c>
      <c r="N13" s="111">
        <v>15.57</v>
      </c>
      <c r="O13" s="111">
        <v>0.6</v>
      </c>
      <c r="P13" s="111">
        <v>14</v>
      </c>
      <c r="Q13" s="111">
        <v>14.212</v>
      </c>
      <c r="R13" s="111">
        <v>14.032</v>
      </c>
      <c r="S13" s="111">
        <v>8</v>
      </c>
      <c r="T13" s="111">
        <v>1.6</v>
      </c>
      <c r="U13" s="111">
        <v>23.17</v>
      </c>
      <c r="V13" s="112">
        <v>6.8</v>
      </c>
      <c r="W13" s="111">
        <f>(Tabla4[[#This Row],[`dk max.`]]+Tabla4[[#This Row],[`dk min.`]])/2</f>
        <v>23.835000000000001</v>
      </c>
      <c r="X13" s="111">
        <f>(Tabla4[[#This Row],[`k max.`]]+Tabla4[[#This Row],[`k min.`]])/2</f>
        <v>15.785</v>
      </c>
    </row>
    <row r="14" spans="1:24" ht="15" thickBot="1" x14ac:dyDescent="0.35">
      <c r="A14" s="87" t="s">
        <v>40</v>
      </c>
      <c r="B14" s="22">
        <v>20</v>
      </c>
      <c r="C14" s="85">
        <v>2.5</v>
      </c>
      <c r="D14" s="111">
        <v>52</v>
      </c>
      <c r="E14" s="111">
        <v>30</v>
      </c>
      <c r="F14" s="111">
        <v>30.33</v>
      </c>
      <c r="G14" s="111">
        <v>29.67</v>
      </c>
      <c r="H14" s="111">
        <v>22.4</v>
      </c>
      <c r="I14" s="111">
        <v>20</v>
      </c>
      <c r="J14" s="111">
        <v>19.670000000000002</v>
      </c>
      <c r="K14" s="111">
        <v>19.437000000000001</v>
      </c>
      <c r="L14" s="111">
        <v>2.04</v>
      </c>
      <c r="M14" s="111">
        <v>20</v>
      </c>
      <c r="N14" s="111">
        <v>19.48</v>
      </c>
      <c r="O14" s="111">
        <v>0.8</v>
      </c>
      <c r="P14" s="111">
        <v>17</v>
      </c>
      <c r="Q14" s="111">
        <v>17.23</v>
      </c>
      <c r="R14" s="111">
        <v>17.05</v>
      </c>
      <c r="S14" s="111">
        <v>10</v>
      </c>
      <c r="T14" s="111">
        <v>2</v>
      </c>
      <c r="U14" s="111">
        <v>28.87</v>
      </c>
      <c r="V14" s="112">
        <v>8.6</v>
      </c>
      <c r="W14" s="111">
        <f>(Tabla4[[#This Row],[`dk max.`]]+Tabla4[[#This Row],[`dk min.`]])/2</f>
        <v>29.835000000000001</v>
      </c>
      <c r="X14" s="111">
        <f>(Tabla4[[#This Row],[`k max.`]]+Tabla4[[#This Row],[`k min.`]])/2</f>
        <v>19.740000000000002</v>
      </c>
    </row>
    <row r="15" spans="1:24" ht="15" thickBot="1" x14ac:dyDescent="0.35">
      <c r="A15" s="87" t="s">
        <v>42</v>
      </c>
      <c r="B15" s="22">
        <v>24</v>
      </c>
      <c r="C15" s="85">
        <v>3</v>
      </c>
      <c r="D15" s="111">
        <v>60</v>
      </c>
      <c r="E15" s="111">
        <v>36</v>
      </c>
      <c r="F15" s="111">
        <v>36.39</v>
      </c>
      <c r="G15" s="111">
        <v>35.61</v>
      </c>
      <c r="H15" s="111">
        <v>26.4</v>
      </c>
      <c r="I15" s="111">
        <v>24</v>
      </c>
      <c r="J15" s="111">
        <v>23.67</v>
      </c>
      <c r="K15" s="111">
        <v>21.734000000000002</v>
      </c>
      <c r="L15" s="111">
        <v>2.04</v>
      </c>
      <c r="M15" s="111">
        <v>24</v>
      </c>
      <c r="N15" s="111">
        <v>23.48</v>
      </c>
      <c r="O15" s="111">
        <v>0.8</v>
      </c>
      <c r="P15" s="111">
        <v>19</v>
      </c>
      <c r="Q15" s="111">
        <v>19.274999999999999</v>
      </c>
      <c r="R15" s="111">
        <v>19.065000000000001</v>
      </c>
      <c r="S15" s="111">
        <v>12</v>
      </c>
      <c r="T15" s="111">
        <v>2.4</v>
      </c>
      <c r="U15" s="111">
        <v>34.81</v>
      </c>
      <c r="V15" s="112">
        <v>10.4</v>
      </c>
      <c r="W15" s="111">
        <f>(Tabla4[[#This Row],[`dk max.`]]+Tabla4[[#This Row],[`dk min.`]])/2</f>
        <v>35.805</v>
      </c>
      <c r="X15" s="111">
        <f>(Tabla4[[#This Row],[`k max.`]]+Tabla4[[#This Row],[`k min.`]])/2</f>
        <v>23.740000000000002</v>
      </c>
    </row>
    <row r="16" spans="1:24" ht="15" thickBot="1" x14ac:dyDescent="0.35">
      <c r="A16" s="87" t="s">
        <v>44</v>
      </c>
      <c r="B16" s="22">
        <v>30</v>
      </c>
      <c r="C16" s="85">
        <v>3.5</v>
      </c>
      <c r="D16" s="111">
        <v>72</v>
      </c>
      <c r="E16" s="111">
        <v>45</v>
      </c>
      <c r="F16" s="111">
        <v>45.39</v>
      </c>
      <c r="G16" s="111">
        <v>44.61</v>
      </c>
      <c r="H16" s="111">
        <v>33.4</v>
      </c>
      <c r="I16" s="111">
        <v>30</v>
      </c>
      <c r="J16" s="111">
        <v>29.67</v>
      </c>
      <c r="K16" s="111">
        <v>25.154</v>
      </c>
      <c r="L16" s="111">
        <v>2.89</v>
      </c>
      <c r="M16" s="111">
        <v>30</v>
      </c>
      <c r="N16" s="111">
        <v>29.48</v>
      </c>
      <c r="O16" s="111">
        <v>1</v>
      </c>
      <c r="P16" s="111">
        <v>22</v>
      </c>
      <c r="Q16" s="111">
        <v>22.274999999999999</v>
      </c>
      <c r="R16" s="111">
        <v>22.065000000000001</v>
      </c>
      <c r="S16" s="111">
        <v>15.5</v>
      </c>
      <c r="T16" s="111">
        <v>3</v>
      </c>
      <c r="U16" s="111">
        <v>43.61</v>
      </c>
      <c r="V16" s="112">
        <v>13.1</v>
      </c>
      <c r="W16" s="111">
        <f>(Tabla4[[#This Row],[`dk max.`]]+Tabla4[[#This Row],[`dk min.`]])/2</f>
        <v>44.805</v>
      </c>
      <c r="X16" s="111">
        <f>(Tabla4[[#This Row],[`k max.`]]+Tabla4[[#This Row],[`k min.`]])/2</f>
        <v>29.740000000000002</v>
      </c>
    </row>
    <row r="17" spans="1:24" ht="15" thickBot="1" x14ac:dyDescent="0.35">
      <c r="A17" s="87" t="s">
        <v>46</v>
      </c>
      <c r="B17" s="22">
        <v>36</v>
      </c>
      <c r="C17" s="85">
        <v>4</v>
      </c>
      <c r="D17" s="111">
        <v>84</v>
      </c>
      <c r="E17" s="111">
        <v>54</v>
      </c>
      <c r="F17" s="111">
        <v>54.46</v>
      </c>
      <c r="G17" s="111">
        <v>53.54</v>
      </c>
      <c r="H17" s="111">
        <v>39.4</v>
      </c>
      <c r="I17" s="111">
        <v>36</v>
      </c>
      <c r="J17" s="111">
        <v>35.61</v>
      </c>
      <c r="K17" s="111">
        <v>30.853999999999999</v>
      </c>
      <c r="L17" s="111">
        <v>2.89</v>
      </c>
      <c r="M17" s="111">
        <v>36</v>
      </c>
      <c r="N17" s="111">
        <v>35.380000000000003</v>
      </c>
      <c r="O17" s="111">
        <v>1</v>
      </c>
      <c r="P17" s="111">
        <v>27</v>
      </c>
      <c r="Q17" s="111">
        <v>27.274999999999999</v>
      </c>
      <c r="R17" s="111">
        <v>27.065000000000001</v>
      </c>
      <c r="S17" s="111">
        <v>19</v>
      </c>
      <c r="T17" s="111">
        <v>3.6</v>
      </c>
      <c r="U17" s="111">
        <v>52.54</v>
      </c>
      <c r="V17" s="112">
        <v>15.3</v>
      </c>
      <c r="W17" s="111">
        <f>(Tabla4[[#This Row],[`dk max.`]]+Tabla4[[#This Row],[`dk min.`]])/2</f>
        <v>53.769999999999996</v>
      </c>
      <c r="X17" s="111">
        <f>(Tabla4[[#This Row],[`k max.`]]+Tabla4[[#This Row],[`k min.`]])/2</f>
        <v>35.69</v>
      </c>
    </row>
    <row r="18" spans="1:24" ht="15" thickBot="1" x14ac:dyDescent="0.35">
      <c r="A18" s="87" t="s">
        <v>49</v>
      </c>
      <c r="B18" s="22">
        <v>42</v>
      </c>
      <c r="C18" s="85">
        <v>4.5</v>
      </c>
      <c r="D18" s="111">
        <v>96</v>
      </c>
      <c r="E18" s="111">
        <v>63</v>
      </c>
      <c r="F18" s="111">
        <v>63.46</v>
      </c>
      <c r="G18" s="111">
        <v>62.54</v>
      </c>
      <c r="H18" s="111">
        <v>45.6</v>
      </c>
      <c r="I18" s="111">
        <v>42</v>
      </c>
      <c r="J18" s="111">
        <v>41.61</v>
      </c>
      <c r="K18" s="111">
        <v>36.570999999999998</v>
      </c>
      <c r="L18" s="111">
        <v>3.06</v>
      </c>
      <c r="M18" s="111">
        <v>42</v>
      </c>
      <c r="N18" s="111">
        <v>41.38</v>
      </c>
      <c r="O18" s="111">
        <v>1.2</v>
      </c>
      <c r="P18" s="111">
        <v>32</v>
      </c>
      <c r="Q18" s="111">
        <v>32.33</v>
      </c>
      <c r="R18" s="111">
        <v>32.08</v>
      </c>
      <c r="S18" s="111">
        <v>24</v>
      </c>
      <c r="T18" s="111">
        <v>4.2</v>
      </c>
      <c r="U18" s="111">
        <v>61.34</v>
      </c>
      <c r="V18" s="112">
        <v>16.3</v>
      </c>
      <c r="W18" s="111">
        <f>(Tabla4[[#This Row],[`dk max.`]]+Tabla4[[#This Row],[`dk min.`]])/2</f>
        <v>62.769999999999996</v>
      </c>
      <c r="X18" s="111">
        <f>(Tabla4[[#This Row],[`k max.`]]+Tabla4[[#This Row],[`k min.`]])/2</f>
        <v>41.69</v>
      </c>
    </row>
    <row r="19" spans="1:24" ht="15" thickBot="1" x14ac:dyDescent="0.35">
      <c r="A19" s="87" t="s">
        <v>51</v>
      </c>
      <c r="B19" s="22">
        <v>48</v>
      </c>
      <c r="C19" s="85">
        <v>5</v>
      </c>
      <c r="D19" s="111">
        <v>108</v>
      </c>
      <c r="E19" s="111">
        <v>72</v>
      </c>
      <c r="F19" s="111">
        <v>72.459999999999994</v>
      </c>
      <c r="G19" s="111">
        <v>71.540000000000006</v>
      </c>
      <c r="H19" s="111">
        <v>52.6</v>
      </c>
      <c r="I19" s="111">
        <v>48</v>
      </c>
      <c r="J19" s="111">
        <v>47.61</v>
      </c>
      <c r="K19" s="111">
        <v>41.131</v>
      </c>
      <c r="L19" s="111">
        <v>3.91</v>
      </c>
      <c r="M19" s="111">
        <v>48</v>
      </c>
      <c r="N19" s="111">
        <v>47.38</v>
      </c>
      <c r="O19" s="111">
        <v>1.6</v>
      </c>
      <c r="P19" s="111">
        <v>36</v>
      </c>
      <c r="Q19" s="111">
        <v>36.33</v>
      </c>
      <c r="R19" s="111">
        <v>36.08</v>
      </c>
      <c r="S19" s="111">
        <v>28</v>
      </c>
      <c r="T19" s="111">
        <v>4.8</v>
      </c>
      <c r="U19" s="111">
        <v>70.34</v>
      </c>
      <c r="V19" s="112">
        <v>17.5</v>
      </c>
      <c r="W19" s="111">
        <f>(Tabla4[[#This Row],[`dk max.`]]+Tabla4[[#This Row],[`dk min.`]])/2</f>
        <v>71.77000000000001</v>
      </c>
      <c r="X19" s="111">
        <f>(Tabla4[[#This Row],[`k max.`]]+Tabla4[[#This Row],[`k min.`]])/2</f>
        <v>47.69</v>
      </c>
    </row>
    <row r="20" spans="1:24" ht="15" thickBot="1" x14ac:dyDescent="0.35">
      <c r="A20" s="87" t="s">
        <v>53</v>
      </c>
      <c r="B20" s="22">
        <v>56</v>
      </c>
      <c r="C20" s="85">
        <v>5.5</v>
      </c>
      <c r="D20" s="111">
        <v>124</v>
      </c>
      <c r="E20" s="111">
        <v>84</v>
      </c>
      <c r="F20" s="111">
        <v>84.54</v>
      </c>
      <c r="G20" s="111">
        <v>83.46</v>
      </c>
      <c r="H20" s="111">
        <v>63</v>
      </c>
      <c r="I20" s="111">
        <v>56</v>
      </c>
      <c r="J20" s="111">
        <v>55.54</v>
      </c>
      <c r="K20" s="111">
        <v>46.831000000000003</v>
      </c>
      <c r="L20" s="111">
        <v>5.95</v>
      </c>
      <c r="M20" s="111">
        <v>56</v>
      </c>
      <c r="N20" s="111">
        <v>55.26</v>
      </c>
      <c r="O20" s="111">
        <v>2</v>
      </c>
      <c r="P20" s="111">
        <v>41</v>
      </c>
      <c r="Q20" s="111">
        <v>41.33</v>
      </c>
      <c r="R20" s="111">
        <v>41.08</v>
      </c>
      <c r="S20" s="111">
        <v>34</v>
      </c>
      <c r="T20" s="111">
        <v>5.6</v>
      </c>
      <c r="U20" s="111">
        <v>82.26</v>
      </c>
      <c r="V20" s="112">
        <v>19</v>
      </c>
      <c r="W20" s="111">
        <f>(Tabla4[[#This Row],[`dk max.`]]+Tabla4[[#This Row],[`dk min.`]])/2</f>
        <v>83.72999999999999</v>
      </c>
      <c r="X20" s="111">
        <f>(Tabla4[[#This Row],[`k max.`]]+Tabla4[[#This Row],[`k min.`]])/2</f>
        <v>55.629999999999995</v>
      </c>
    </row>
    <row r="21" spans="1:24" ht="15" thickBot="1" x14ac:dyDescent="0.35">
      <c r="A21" s="87" t="s">
        <v>55</v>
      </c>
      <c r="B21" s="22">
        <v>64</v>
      </c>
      <c r="C21" s="85">
        <v>6</v>
      </c>
      <c r="D21" s="111">
        <v>140</v>
      </c>
      <c r="E21" s="111">
        <v>96</v>
      </c>
      <c r="F21" s="111">
        <v>96.54</v>
      </c>
      <c r="G21" s="111">
        <v>95.46</v>
      </c>
      <c r="H21" s="111">
        <v>71</v>
      </c>
      <c r="I21" s="111">
        <v>64</v>
      </c>
      <c r="J21" s="111">
        <v>63.54</v>
      </c>
      <c r="K21" s="111">
        <v>52.530999999999999</v>
      </c>
      <c r="L21" s="111">
        <v>5.95</v>
      </c>
      <c r="M21" s="111">
        <v>64</v>
      </c>
      <c r="N21" s="111">
        <v>63.26</v>
      </c>
      <c r="O21" s="111">
        <v>2</v>
      </c>
      <c r="P21" s="111">
        <v>46</v>
      </c>
      <c r="Q21" s="111">
        <v>46.33</v>
      </c>
      <c r="R21" s="111">
        <v>46.08</v>
      </c>
      <c r="S21" s="111">
        <v>38</v>
      </c>
      <c r="T21" s="111">
        <v>6.4</v>
      </c>
      <c r="U21" s="111">
        <v>94.26</v>
      </c>
      <c r="V21" s="112">
        <v>22</v>
      </c>
      <c r="W21" s="114">
        <f>(Tabla4[[#This Row],[`dk max.`]]+Tabla4[[#This Row],[`dk min.`]])/2</f>
        <v>95.72999999999999</v>
      </c>
      <c r="X21" s="114">
        <f>(Tabla4[[#This Row],[`k max.`]]+Tabla4[[#This Row],[`k min.`]])/2</f>
        <v>63.629999999999995</v>
      </c>
    </row>
  </sheetData>
  <phoneticPr fontId="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EED3-B997-4203-89F2-CB2072A1E1F0}">
  <dimension ref="A1:J30"/>
  <sheetViews>
    <sheetView workbookViewId="0">
      <selection activeCell="A30" sqref="A1:H30"/>
    </sheetView>
  </sheetViews>
  <sheetFormatPr baseColWidth="10" defaultRowHeight="14.4" x14ac:dyDescent="0.3"/>
  <cols>
    <col min="1" max="1" width="17.109375" customWidth="1"/>
    <col min="2" max="2" width="15.33203125" customWidth="1"/>
    <col min="3" max="3" width="16" customWidth="1"/>
    <col min="4" max="4" width="15.44140625" customWidth="1"/>
    <col min="6" max="6" width="18.44140625" customWidth="1"/>
  </cols>
  <sheetData>
    <row r="1" spans="1:10" ht="28.8" x14ac:dyDescent="0.3">
      <c r="A1" s="88" t="s">
        <v>743</v>
      </c>
      <c r="B1" s="88" t="s">
        <v>744</v>
      </c>
      <c r="C1" s="88" t="s">
        <v>745</v>
      </c>
      <c r="D1" s="88" t="s">
        <v>776</v>
      </c>
      <c r="E1" s="88" t="s">
        <v>746</v>
      </c>
      <c r="F1" s="88" t="s">
        <v>747</v>
      </c>
      <c r="G1" s="88" t="s">
        <v>748</v>
      </c>
      <c r="H1" s="88" t="s">
        <v>749</v>
      </c>
      <c r="I1" s="88" t="s">
        <v>750</v>
      </c>
      <c r="J1" s="88" t="s">
        <v>751</v>
      </c>
    </row>
    <row r="2" spans="1:10" x14ac:dyDescent="0.3">
      <c r="A2" s="115">
        <v>1.6</v>
      </c>
      <c r="B2" s="115">
        <v>1.7</v>
      </c>
      <c r="C2" s="115">
        <v>1.84</v>
      </c>
      <c r="D2" s="115">
        <v>4</v>
      </c>
      <c r="E2" s="115">
        <v>3.7</v>
      </c>
      <c r="F2" s="115">
        <v>0.3</v>
      </c>
      <c r="G2" s="115">
        <v>0.35</v>
      </c>
      <c r="H2" s="115">
        <v>0.25</v>
      </c>
      <c r="I2" s="115">
        <f>(Tabla5[[#This Row],[`Clearance Hole d1 (min)`]]+Tabla5[[#This Row],[`Clearance Hole d1 (max)`]])/2</f>
        <v>1.77</v>
      </c>
      <c r="J2" s="115">
        <f>(Tabla5[[#This Row],[`Outside d2 (nom)`]]+Tabla5[[#This Row],[`d2 (min)`]])/2</f>
        <v>3.85</v>
      </c>
    </row>
    <row r="3" spans="1:10" x14ac:dyDescent="0.3">
      <c r="A3" s="115">
        <v>2</v>
      </c>
      <c r="B3" s="115">
        <v>2.2000000000000002</v>
      </c>
      <c r="C3" s="115">
        <v>2.34</v>
      </c>
      <c r="D3" s="115">
        <v>5</v>
      </c>
      <c r="E3" s="115">
        <v>4.7</v>
      </c>
      <c r="F3" s="115">
        <v>0.3</v>
      </c>
      <c r="G3" s="115">
        <v>0.35</v>
      </c>
      <c r="H3" s="115">
        <v>0.25</v>
      </c>
      <c r="I3" s="115">
        <f>(Tabla5[[#This Row],[`Clearance Hole d1 (min)`]]+Tabla5[[#This Row],[`Clearance Hole d1 (max)`]])/2</f>
        <v>2.27</v>
      </c>
      <c r="J3" s="115">
        <f>(Tabla5[[#This Row],[`Outside d2 (nom)`]]+Tabla5[[#This Row],[`d2 (min)`]])/2</f>
        <v>4.8499999999999996</v>
      </c>
    </row>
    <row r="4" spans="1:10" x14ac:dyDescent="0.3">
      <c r="A4" s="116">
        <v>2.5</v>
      </c>
      <c r="B4" s="116">
        <v>2.7</v>
      </c>
      <c r="C4" s="116">
        <v>2.84</v>
      </c>
      <c r="D4" s="116">
        <v>6</v>
      </c>
      <c r="E4" s="116">
        <v>5.7</v>
      </c>
      <c r="F4" s="116">
        <v>0.5</v>
      </c>
      <c r="G4" s="116">
        <v>0.55000000000000004</v>
      </c>
      <c r="H4" s="116">
        <v>0.45</v>
      </c>
      <c r="I4" s="115">
        <f>(Tabla5[[#This Row],[`Clearance Hole d1 (min)`]]+Tabla5[[#This Row],[`Clearance Hole d1 (max)`]])/2</f>
        <v>2.77</v>
      </c>
      <c r="J4" s="115">
        <f>(Tabla5[[#This Row],[`Outside d2 (nom)`]]+Tabla5[[#This Row],[`d2 (min)`]])/2</f>
        <v>5.85</v>
      </c>
    </row>
    <row r="5" spans="1:10" x14ac:dyDescent="0.3">
      <c r="A5" s="115">
        <v>3</v>
      </c>
      <c r="B5" s="115">
        <v>3.2</v>
      </c>
      <c r="C5" s="115">
        <v>3.38</v>
      </c>
      <c r="D5" s="115">
        <v>7</v>
      </c>
      <c r="E5" s="115">
        <v>6.64</v>
      </c>
      <c r="F5" s="115">
        <v>0.5</v>
      </c>
      <c r="G5" s="115">
        <v>0.55000000000000004</v>
      </c>
      <c r="H5" s="115">
        <v>0.45</v>
      </c>
      <c r="I5" s="115">
        <f>(Tabla5[[#This Row],[`Clearance Hole d1 (min)`]]+Tabla5[[#This Row],[`Clearance Hole d1 (max)`]])/2</f>
        <v>3.29</v>
      </c>
      <c r="J5" s="115">
        <f>(Tabla5[[#This Row],[`Outside d2 (nom)`]]+Tabla5[[#This Row],[`d2 (min)`]])/2</f>
        <v>6.82</v>
      </c>
    </row>
    <row r="6" spans="1:10" x14ac:dyDescent="0.3">
      <c r="A6" s="115">
        <v>4</v>
      </c>
      <c r="B6" s="115">
        <v>4.3</v>
      </c>
      <c r="C6" s="115">
        <v>4.4800000000000004</v>
      </c>
      <c r="D6" s="115">
        <v>9</v>
      </c>
      <c r="E6" s="115">
        <v>8.64</v>
      </c>
      <c r="F6" s="115">
        <v>0.8</v>
      </c>
      <c r="G6" s="115">
        <v>0.9</v>
      </c>
      <c r="H6" s="115">
        <v>0.7</v>
      </c>
      <c r="I6" s="115">
        <f>(Tabla5[[#This Row],[`Clearance Hole d1 (min)`]]+Tabla5[[#This Row],[`Clearance Hole d1 (max)`]])/2</f>
        <v>4.3900000000000006</v>
      </c>
      <c r="J6" s="115">
        <f>(Tabla5[[#This Row],[`Outside d2 (nom)`]]+Tabla5[[#This Row],[`d2 (min)`]])/2</f>
        <v>8.82</v>
      </c>
    </row>
    <row r="7" spans="1:10" x14ac:dyDescent="0.3">
      <c r="A7" s="116">
        <v>5</v>
      </c>
      <c r="B7" s="116">
        <v>5.3</v>
      </c>
      <c r="C7" s="116">
        <v>5.48</v>
      </c>
      <c r="D7" s="116">
        <v>10</v>
      </c>
      <c r="E7" s="116">
        <v>9.64</v>
      </c>
      <c r="F7" s="116">
        <v>1</v>
      </c>
      <c r="G7" s="116">
        <v>1.1000000000000001</v>
      </c>
      <c r="H7" s="116">
        <v>0.9</v>
      </c>
      <c r="I7" s="115">
        <f>(Tabla5[[#This Row],[`Clearance Hole d1 (min)`]]+Tabla5[[#This Row],[`Clearance Hole d1 (max)`]])/2</f>
        <v>5.3900000000000006</v>
      </c>
      <c r="J7" s="115">
        <f>(Tabla5[[#This Row],[`Outside d2 (nom)`]]+Tabla5[[#This Row],[`d2 (min)`]])/2</f>
        <v>9.82</v>
      </c>
    </row>
    <row r="8" spans="1:10" x14ac:dyDescent="0.3">
      <c r="A8" s="115">
        <v>6</v>
      </c>
      <c r="B8" s="115">
        <v>6.4</v>
      </c>
      <c r="C8" s="115">
        <v>6.62</v>
      </c>
      <c r="D8" s="115">
        <v>12</v>
      </c>
      <c r="E8" s="115">
        <v>11.57</v>
      </c>
      <c r="F8" s="115">
        <v>1.6</v>
      </c>
      <c r="G8" s="115">
        <v>1.8</v>
      </c>
      <c r="H8" s="115">
        <v>1.4</v>
      </c>
      <c r="I8" s="115">
        <f>(Tabla5[[#This Row],[`Clearance Hole d1 (min)`]]+Tabla5[[#This Row],[`Clearance Hole d1 (max)`]])/2</f>
        <v>6.51</v>
      </c>
      <c r="J8" s="115">
        <f>(Tabla5[[#This Row],[`Outside d2 (nom)`]]+Tabla5[[#This Row],[`d2 (min)`]])/2</f>
        <v>11.785</v>
      </c>
    </row>
    <row r="9" spans="1:10" x14ac:dyDescent="0.3">
      <c r="A9" s="115">
        <v>8</v>
      </c>
      <c r="B9" s="115">
        <v>8.4</v>
      </c>
      <c r="C9" s="115">
        <v>8.6199999999999992</v>
      </c>
      <c r="D9" s="115">
        <v>16</v>
      </c>
      <c r="E9" s="115">
        <v>15.57</v>
      </c>
      <c r="F9" s="115">
        <v>1.6</v>
      </c>
      <c r="G9" s="115">
        <v>1.8</v>
      </c>
      <c r="H9" s="115">
        <v>1.4</v>
      </c>
      <c r="I9" s="115">
        <f>(Tabla5[[#This Row],[`Clearance Hole d1 (min)`]]+Tabla5[[#This Row],[`Clearance Hole d1 (max)`]])/2</f>
        <v>8.51</v>
      </c>
      <c r="J9" s="115">
        <f>(Tabla5[[#This Row],[`Outside d2 (nom)`]]+Tabla5[[#This Row],[`d2 (min)`]])/2</f>
        <v>15.785</v>
      </c>
    </row>
    <row r="10" spans="1:10" x14ac:dyDescent="0.3">
      <c r="A10" s="116">
        <v>10</v>
      </c>
      <c r="B10" s="116">
        <v>10.5</v>
      </c>
      <c r="C10" s="116">
        <v>10.77</v>
      </c>
      <c r="D10" s="116">
        <v>20</v>
      </c>
      <c r="E10" s="116">
        <v>19.48</v>
      </c>
      <c r="F10" s="116">
        <v>2</v>
      </c>
      <c r="G10" s="116">
        <v>2.2000000000000002</v>
      </c>
      <c r="H10" s="116">
        <v>1.8</v>
      </c>
      <c r="I10" s="115">
        <f>(Tabla5[[#This Row],[`Clearance Hole d1 (min)`]]+Tabla5[[#This Row],[`Clearance Hole d1 (max)`]])/2</f>
        <v>10.635</v>
      </c>
      <c r="J10" s="115">
        <f>(Tabla5[[#This Row],[`Outside d2 (nom)`]]+Tabla5[[#This Row],[`d2 (min)`]])/2</f>
        <v>19.740000000000002</v>
      </c>
    </row>
    <row r="11" spans="1:10" x14ac:dyDescent="0.3">
      <c r="A11" s="115">
        <v>12</v>
      </c>
      <c r="B11" s="115">
        <v>13</v>
      </c>
      <c r="C11" s="115">
        <v>13.27</v>
      </c>
      <c r="D11" s="115">
        <v>24</v>
      </c>
      <c r="E11" s="115">
        <v>23.48</v>
      </c>
      <c r="F11" s="115">
        <v>2.5</v>
      </c>
      <c r="G11" s="115">
        <v>2.7</v>
      </c>
      <c r="H11" s="115">
        <v>2.2999999999999998</v>
      </c>
      <c r="I11" s="115">
        <f>(Tabla5[[#This Row],[`Clearance Hole d1 (min)`]]+Tabla5[[#This Row],[`Clearance Hole d1 (max)`]])/2</f>
        <v>13.135</v>
      </c>
      <c r="J11" s="115">
        <f>(Tabla5[[#This Row],[`Outside d2 (nom)`]]+Tabla5[[#This Row],[`d2 (min)`]])/2</f>
        <v>23.740000000000002</v>
      </c>
    </row>
    <row r="12" spans="1:10" x14ac:dyDescent="0.3">
      <c r="A12" s="115">
        <v>16</v>
      </c>
      <c r="B12" s="115">
        <v>17</v>
      </c>
      <c r="C12" s="115">
        <v>17.27</v>
      </c>
      <c r="D12" s="115">
        <v>30</v>
      </c>
      <c r="E12" s="115">
        <v>29.48</v>
      </c>
      <c r="F12" s="115">
        <v>3</v>
      </c>
      <c r="G12" s="115">
        <v>3.3</v>
      </c>
      <c r="H12" s="115">
        <v>2.7</v>
      </c>
      <c r="I12" s="115">
        <f>(Tabla5[[#This Row],[`Clearance Hole d1 (min)`]]+Tabla5[[#This Row],[`Clearance Hole d1 (max)`]])/2</f>
        <v>17.134999999999998</v>
      </c>
      <c r="J12" s="115">
        <f>(Tabla5[[#This Row],[`Outside d2 (nom)`]]+Tabla5[[#This Row],[`d2 (min)`]])/2</f>
        <v>29.740000000000002</v>
      </c>
    </row>
    <row r="13" spans="1:10" x14ac:dyDescent="0.3">
      <c r="A13" s="116">
        <v>20</v>
      </c>
      <c r="B13" s="116">
        <v>21</v>
      </c>
      <c r="C13" s="116">
        <v>21.33</v>
      </c>
      <c r="D13" s="116">
        <v>37</v>
      </c>
      <c r="E13" s="116">
        <v>36.380000000000003</v>
      </c>
      <c r="F13" s="116">
        <v>3</v>
      </c>
      <c r="G13" s="116">
        <v>3.3</v>
      </c>
      <c r="H13" s="116">
        <v>2.7</v>
      </c>
      <c r="I13" s="115">
        <f>(Tabla5[[#This Row],[`Clearance Hole d1 (min)`]]+Tabla5[[#This Row],[`Clearance Hole d1 (max)`]])/2</f>
        <v>21.164999999999999</v>
      </c>
      <c r="J13" s="115">
        <f>(Tabla5[[#This Row],[`Outside d2 (nom)`]]+Tabla5[[#This Row],[`d2 (min)`]])/2</f>
        <v>36.69</v>
      </c>
    </row>
    <row r="14" spans="1:10" x14ac:dyDescent="0.3">
      <c r="A14" s="115">
        <v>24</v>
      </c>
      <c r="B14" s="115">
        <v>25</v>
      </c>
      <c r="C14" s="115">
        <v>25.33</v>
      </c>
      <c r="D14" s="115">
        <v>44</v>
      </c>
      <c r="E14" s="115">
        <v>43.38</v>
      </c>
      <c r="F14" s="115">
        <v>4</v>
      </c>
      <c r="G14" s="115">
        <v>4.3</v>
      </c>
      <c r="H14" s="115">
        <v>3.7</v>
      </c>
      <c r="I14" s="115">
        <f>(Tabla5[[#This Row],[`Clearance Hole d1 (min)`]]+Tabla5[[#This Row],[`Clearance Hole d1 (max)`]])/2</f>
        <v>25.164999999999999</v>
      </c>
      <c r="J14" s="115">
        <f>(Tabla5[[#This Row],[`Outside d2 (nom)`]]+Tabla5[[#This Row],[`d2 (min)`]])/2</f>
        <v>43.69</v>
      </c>
    </row>
    <row r="15" spans="1:10" x14ac:dyDescent="0.3">
      <c r="A15" s="115">
        <v>30</v>
      </c>
      <c r="B15" s="115">
        <v>31</v>
      </c>
      <c r="C15" s="115">
        <v>31.39</v>
      </c>
      <c r="D15" s="115">
        <v>56</v>
      </c>
      <c r="E15" s="115">
        <v>55.26</v>
      </c>
      <c r="F15" s="115">
        <v>4</v>
      </c>
      <c r="G15" s="115">
        <v>4.3</v>
      </c>
      <c r="H15" s="115">
        <v>3.7</v>
      </c>
      <c r="I15" s="115">
        <f>(Tabla5[[#This Row],[`Clearance Hole d1 (min)`]]+Tabla5[[#This Row],[`Clearance Hole d1 (max)`]])/2</f>
        <v>31.195</v>
      </c>
      <c r="J15" s="115">
        <f>(Tabla5[[#This Row],[`Outside d2 (nom)`]]+Tabla5[[#This Row],[`d2 (min)`]])/2</f>
        <v>55.629999999999995</v>
      </c>
    </row>
    <row r="16" spans="1:10" x14ac:dyDescent="0.3">
      <c r="A16" s="116">
        <v>36</v>
      </c>
      <c r="B16" s="116">
        <v>37</v>
      </c>
      <c r="C16" s="116">
        <v>37.619999999999997</v>
      </c>
      <c r="D16" s="116">
        <v>66</v>
      </c>
      <c r="E16" s="116">
        <v>64.8</v>
      </c>
      <c r="F16" s="116">
        <v>5</v>
      </c>
      <c r="G16" s="116">
        <v>5.6</v>
      </c>
      <c r="H16" s="116">
        <v>4.4000000000000004</v>
      </c>
      <c r="I16" s="115">
        <f>(Tabla5[[#This Row],[`Clearance Hole d1 (min)`]]+Tabla5[[#This Row],[`Clearance Hole d1 (max)`]])/2</f>
        <v>37.31</v>
      </c>
      <c r="J16" s="115">
        <f>(Tabla5[[#This Row],[`Outside d2 (nom)`]]+Tabla5[[#This Row],[`d2 (min)`]])/2</f>
        <v>65.400000000000006</v>
      </c>
    </row>
    <row r="17" spans="1:10" x14ac:dyDescent="0.3">
      <c r="A17" s="115">
        <v>42</v>
      </c>
      <c r="B17" s="115">
        <v>45</v>
      </c>
      <c r="C17" s="115">
        <v>45.62</v>
      </c>
      <c r="D17" s="115">
        <v>78</v>
      </c>
      <c r="E17" s="115">
        <v>76.8</v>
      </c>
      <c r="F17" s="115">
        <v>8</v>
      </c>
      <c r="G17" s="115">
        <v>9</v>
      </c>
      <c r="H17" s="115">
        <v>7</v>
      </c>
      <c r="I17" s="115">
        <f>(Tabla5[[#This Row],[`Clearance Hole d1 (min)`]]+Tabla5[[#This Row],[`Clearance Hole d1 (max)`]])/2</f>
        <v>45.31</v>
      </c>
      <c r="J17" s="115">
        <f>(Tabla5[[#This Row],[`Outside d2 (nom)`]]+Tabla5[[#This Row],[`d2 (min)`]])/2</f>
        <v>77.400000000000006</v>
      </c>
    </row>
    <row r="18" spans="1:10" x14ac:dyDescent="0.3">
      <c r="A18" s="115">
        <v>48</v>
      </c>
      <c r="B18" s="115">
        <v>52</v>
      </c>
      <c r="C18" s="115">
        <v>52.74</v>
      </c>
      <c r="D18" s="115">
        <v>92</v>
      </c>
      <c r="E18" s="115">
        <v>90.6</v>
      </c>
      <c r="F18" s="115">
        <v>8</v>
      </c>
      <c r="G18" s="115">
        <v>9</v>
      </c>
      <c r="H18" s="115">
        <v>7</v>
      </c>
      <c r="I18" s="115">
        <f>(Tabla5[[#This Row],[`Clearance Hole d1 (min)`]]+Tabla5[[#This Row],[`Clearance Hole d1 (max)`]])/2</f>
        <v>52.370000000000005</v>
      </c>
      <c r="J18" s="115">
        <f>(Tabla5[[#This Row],[`Outside d2 (nom)`]]+Tabla5[[#This Row],[`d2 (min)`]])/2</f>
        <v>91.3</v>
      </c>
    </row>
    <row r="19" spans="1:10" x14ac:dyDescent="0.3">
      <c r="A19" s="115">
        <v>56</v>
      </c>
      <c r="B19" s="115">
        <v>62</v>
      </c>
      <c r="C19" s="115">
        <v>62.74</v>
      </c>
      <c r="D19" s="115">
        <v>105</v>
      </c>
      <c r="E19" s="115">
        <v>103.6</v>
      </c>
      <c r="F19" s="115">
        <v>10</v>
      </c>
      <c r="G19" s="115">
        <v>11</v>
      </c>
      <c r="H19" s="115">
        <v>9</v>
      </c>
      <c r="I19" s="115">
        <f>(Tabla5[[#This Row],[`Clearance Hole d1 (min)`]]+Tabla5[[#This Row],[`Clearance Hole d1 (max)`]])/2</f>
        <v>62.370000000000005</v>
      </c>
      <c r="J19" s="115">
        <f>(Tabla5[[#This Row],[`Outside d2 (nom)`]]+Tabla5[[#This Row],[`d2 (min)`]])/2</f>
        <v>104.3</v>
      </c>
    </row>
    <row r="20" spans="1:10" ht="15" thickBot="1" x14ac:dyDescent="0.35">
      <c r="A20" s="117">
        <v>64</v>
      </c>
      <c r="B20" s="117">
        <v>70</v>
      </c>
      <c r="C20" s="117">
        <v>70.739999999999995</v>
      </c>
      <c r="D20" s="117">
        <v>115</v>
      </c>
      <c r="E20" s="117">
        <v>113.6</v>
      </c>
      <c r="F20" s="117">
        <v>10</v>
      </c>
      <c r="G20" s="117">
        <v>11</v>
      </c>
      <c r="H20" s="117">
        <v>9</v>
      </c>
      <c r="I20" s="115">
        <f>(Tabla5[[#This Row],[`Clearance Hole d1 (min)`]]+Tabla5[[#This Row],[`Clearance Hole d1 (max)`]])/2</f>
        <v>70.37</v>
      </c>
      <c r="J20" s="115">
        <f>(Tabla5[[#This Row],[`Outside d2 (nom)`]]+Tabla5[[#This Row],[`d2 (min)`]])/2</f>
        <v>114.3</v>
      </c>
    </row>
    <row r="21" spans="1:10" x14ac:dyDescent="0.3">
      <c r="A21" s="115">
        <v>3.5</v>
      </c>
      <c r="B21" s="115">
        <v>3.7</v>
      </c>
      <c r="C21" s="115">
        <v>3.88</v>
      </c>
      <c r="D21" s="115">
        <v>8</v>
      </c>
      <c r="E21" s="115">
        <v>7.64</v>
      </c>
      <c r="F21" s="115">
        <v>0.5</v>
      </c>
      <c r="G21" s="115">
        <v>0.55000000000000004</v>
      </c>
      <c r="H21" s="115">
        <v>0.45</v>
      </c>
      <c r="I21" s="115">
        <f>(Tabla5[[#This Row],[`Clearance Hole d1 (min)`]]+Tabla5[[#This Row],[`Clearance Hole d1 (max)`]])/2</f>
        <v>3.79</v>
      </c>
      <c r="J21" s="115">
        <f>(Tabla5[[#This Row],[`Outside d2 (nom)`]]+Tabla5[[#This Row],[`d2 (min)`]])/2</f>
        <v>7.82</v>
      </c>
    </row>
    <row r="22" spans="1:10" x14ac:dyDescent="0.3">
      <c r="A22" s="115">
        <v>14</v>
      </c>
      <c r="B22" s="115">
        <v>15</v>
      </c>
      <c r="C22" s="115">
        <v>15.27</v>
      </c>
      <c r="D22" s="115">
        <v>28</v>
      </c>
      <c r="E22" s="115">
        <v>27.48</v>
      </c>
      <c r="F22" s="115">
        <v>2.5</v>
      </c>
      <c r="G22" s="115">
        <v>2.7</v>
      </c>
      <c r="H22" s="115">
        <v>2.2999999999999998</v>
      </c>
      <c r="I22" s="115">
        <f>(Tabla5[[#This Row],[`Clearance Hole d1 (min)`]]+Tabla5[[#This Row],[`Clearance Hole d1 (max)`]])/2</f>
        <v>15.135</v>
      </c>
      <c r="J22" s="115">
        <f>(Tabla5[[#This Row],[`Outside d2 (nom)`]]+Tabla5[[#This Row],[`d2 (min)`]])/2</f>
        <v>27.740000000000002</v>
      </c>
    </row>
    <row r="23" spans="1:10" x14ac:dyDescent="0.3">
      <c r="A23" s="116">
        <v>18</v>
      </c>
      <c r="B23" s="116">
        <v>19</v>
      </c>
      <c r="C23" s="116">
        <v>19.329999999999998</v>
      </c>
      <c r="D23" s="116">
        <v>34</v>
      </c>
      <c r="E23" s="116">
        <v>33.380000000000003</v>
      </c>
      <c r="F23" s="116">
        <v>3</v>
      </c>
      <c r="G23" s="116">
        <v>3.3</v>
      </c>
      <c r="H23" s="116">
        <v>2.7</v>
      </c>
      <c r="I23" s="115">
        <f>(Tabla5[[#This Row],[`Clearance Hole d1 (min)`]]+Tabla5[[#This Row],[`Clearance Hole d1 (max)`]])/2</f>
        <v>19.164999999999999</v>
      </c>
      <c r="J23" s="115">
        <f>(Tabla5[[#This Row],[`Outside d2 (nom)`]]+Tabla5[[#This Row],[`d2 (min)`]])/2</f>
        <v>33.69</v>
      </c>
    </row>
    <row r="24" spans="1:10" x14ac:dyDescent="0.3">
      <c r="A24" s="115">
        <v>22</v>
      </c>
      <c r="B24" s="115">
        <v>23</v>
      </c>
      <c r="C24" s="115">
        <v>23.33</v>
      </c>
      <c r="D24" s="115">
        <v>39</v>
      </c>
      <c r="E24" s="115">
        <v>38.380000000000003</v>
      </c>
      <c r="F24" s="115">
        <v>3</v>
      </c>
      <c r="G24" s="115">
        <v>3.3</v>
      </c>
      <c r="H24" s="115">
        <v>2.7</v>
      </c>
      <c r="I24" s="115">
        <f>(Tabla5[[#This Row],[`Clearance Hole d1 (min)`]]+Tabla5[[#This Row],[`Clearance Hole d1 (max)`]])/2</f>
        <v>23.164999999999999</v>
      </c>
      <c r="J24" s="115">
        <f>(Tabla5[[#This Row],[`Outside d2 (nom)`]]+Tabla5[[#This Row],[`d2 (min)`]])/2</f>
        <v>38.69</v>
      </c>
    </row>
    <row r="25" spans="1:10" x14ac:dyDescent="0.3">
      <c r="A25" s="115">
        <v>27</v>
      </c>
      <c r="B25" s="115">
        <v>28</v>
      </c>
      <c r="C25" s="115">
        <v>28.33</v>
      </c>
      <c r="D25" s="115">
        <v>50</v>
      </c>
      <c r="E25" s="115">
        <v>49.38</v>
      </c>
      <c r="F25" s="115">
        <v>4</v>
      </c>
      <c r="G25" s="115">
        <v>4.3</v>
      </c>
      <c r="H25" s="115">
        <v>3.7</v>
      </c>
      <c r="I25" s="115">
        <f>(Tabla5[[#This Row],[`Clearance Hole d1 (min)`]]+Tabla5[[#This Row],[`Clearance Hole d1 (max)`]])/2</f>
        <v>28.164999999999999</v>
      </c>
      <c r="J25" s="115">
        <f>(Tabla5[[#This Row],[`Outside d2 (nom)`]]+Tabla5[[#This Row],[`d2 (min)`]])/2</f>
        <v>49.69</v>
      </c>
    </row>
    <row r="26" spans="1:10" x14ac:dyDescent="0.3">
      <c r="A26" s="116">
        <v>33</v>
      </c>
      <c r="B26" s="116">
        <v>34</v>
      </c>
      <c r="C26" s="116">
        <v>34.619999999999997</v>
      </c>
      <c r="D26" s="116">
        <v>60</v>
      </c>
      <c r="E26" s="116">
        <v>58.8</v>
      </c>
      <c r="F26" s="116">
        <v>5</v>
      </c>
      <c r="G26" s="116">
        <v>5.6</v>
      </c>
      <c r="H26" s="116">
        <v>4.4000000000000004</v>
      </c>
      <c r="I26" s="115">
        <f>(Tabla5[[#This Row],[`Clearance Hole d1 (min)`]]+Tabla5[[#This Row],[`Clearance Hole d1 (max)`]])/2</f>
        <v>34.31</v>
      </c>
      <c r="J26" s="115">
        <f>(Tabla5[[#This Row],[`Outside d2 (nom)`]]+Tabla5[[#This Row],[`d2 (min)`]])/2</f>
        <v>59.4</v>
      </c>
    </row>
    <row r="27" spans="1:10" x14ac:dyDescent="0.3">
      <c r="A27" s="115">
        <v>39</v>
      </c>
      <c r="B27" s="115">
        <v>42</v>
      </c>
      <c r="C27" s="115">
        <v>42.62</v>
      </c>
      <c r="D27" s="115">
        <v>72</v>
      </c>
      <c r="E27" s="115">
        <v>70.8</v>
      </c>
      <c r="F27" s="115">
        <v>6</v>
      </c>
      <c r="G27" s="115">
        <v>6.6</v>
      </c>
      <c r="H27" s="115">
        <v>5.4</v>
      </c>
      <c r="I27" s="115">
        <f>(Tabla5[[#This Row],[`Clearance Hole d1 (min)`]]+Tabla5[[#This Row],[`Clearance Hole d1 (max)`]])/2</f>
        <v>42.31</v>
      </c>
      <c r="J27" s="115">
        <f>(Tabla5[[#This Row],[`Outside d2 (nom)`]]+Tabla5[[#This Row],[`d2 (min)`]])/2</f>
        <v>71.400000000000006</v>
      </c>
    </row>
    <row r="28" spans="1:10" x14ac:dyDescent="0.3">
      <c r="A28" s="115">
        <v>45</v>
      </c>
      <c r="B28" s="115">
        <v>48</v>
      </c>
      <c r="C28" s="115">
        <v>48.62</v>
      </c>
      <c r="D28" s="115">
        <v>85</v>
      </c>
      <c r="E28" s="115">
        <v>83.6</v>
      </c>
      <c r="F28" s="115">
        <v>8</v>
      </c>
      <c r="G28" s="115">
        <v>9</v>
      </c>
      <c r="H28" s="115">
        <v>7</v>
      </c>
      <c r="I28" s="115">
        <f>(Tabla5[[#This Row],[`Clearance Hole d1 (min)`]]+Tabla5[[#This Row],[`Clearance Hole d1 (max)`]])/2</f>
        <v>48.31</v>
      </c>
      <c r="J28" s="115">
        <f>(Tabla5[[#This Row],[`Outside d2 (nom)`]]+Tabla5[[#This Row],[`d2 (min)`]])/2</f>
        <v>84.3</v>
      </c>
    </row>
    <row r="29" spans="1:10" x14ac:dyDescent="0.3">
      <c r="A29" s="115">
        <v>52</v>
      </c>
      <c r="B29" s="115">
        <v>56</v>
      </c>
      <c r="C29" s="115">
        <v>56.74</v>
      </c>
      <c r="D29" s="115">
        <v>98</v>
      </c>
      <c r="E29" s="115">
        <v>96.6</v>
      </c>
      <c r="F29" s="115">
        <v>8</v>
      </c>
      <c r="G29" s="115">
        <v>9</v>
      </c>
      <c r="H29" s="115">
        <v>7</v>
      </c>
      <c r="I29" s="115">
        <f>(Tabla5[[#This Row],[`Clearance Hole d1 (min)`]]+Tabla5[[#This Row],[`Clearance Hole d1 (max)`]])/2</f>
        <v>56.370000000000005</v>
      </c>
      <c r="J29" s="115">
        <f>(Tabla5[[#This Row],[`Outside d2 (nom)`]]+Tabla5[[#This Row],[`d2 (min)`]])/2</f>
        <v>97.3</v>
      </c>
    </row>
    <row r="30" spans="1:10" x14ac:dyDescent="0.3">
      <c r="A30" s="115">
        <v>60</v>
      </c>
      <c r="B30" s="115">
        <v>66</v>
      </c>
      <c r="C30" s="115">
        <v>66.739999999999995</v>
      </c>
      <c r="D30" s="115">
        <v>110</v>
      </c>
      <c r="E30" s="115">
        <v>108.6</v>
      </c>
      <c r="F30" s="115">
        <v>10</v>
      </c>
      <c r="G30" s="115">
        <v>11</v>
      </c>
      <c r="H30" s="115">
        <v>9</v>
      </c>
      <c r="I30" s="115">
        <f>(Tabla5[[#This Row],[`Clearance Hole d1 (min)`]]+Tabla5[[#This Row],[`Clearance Hole d1 (max)`]])/2</f>
        <v>66.37</v>
      </c>
      <c r="J30" s="115">
        <f>(Tabla5[[#This Row],[`Outside d2 (nom)`]]+Tabla5[[#This Row],[`d2 (min)`]])/2</f>
        <v>109.3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E5E2B-8BB1-4487-BD13-446542D0AE64}">
  <dimension ref="A1:CL84"/>
  <sheetViews>
    <sheetView topLeftCell="AY1" zoomScale="85" zoomScaleNormal="85" workbookViewId="0">
      <selection activeCell="BC8" sqref="BC8"/>
    </sheetView>
  </sheetViews>
  <sheetFormatPr baseColWidth="10" defaultRowHeight="14.4" x14ac:dyDescent="0.3"/>
  <cols>
    <col min="4" max="4" width="13.6640625" customWidth="1"/>
    <col min="5" max="5" width="14" customWidth="1"/>
    <col min="6" max="6" width="12.109375" customWidth="1"/>
    <col min="7" max="7" width="12.33203125" customWidth="1"/>
    <col min="8" max="8" width="14" customWidth="1"/>
    <col min="9" max="9" width="14.44140625" customWidth="1"/>
    <col min="10" max="10" width="12.109375" customWidth="1"/>
    <col min="11" max="11" width="12.33203125" customWidth="1"/>
    <col min="12" max="12" width="12.109375" customWidth="1"/>
    <col min="13" max="13" width="12.33203125" customWidth="1"/>
    <col min="14" max="14" width="12.109375" customWidth="1"/>
    <col min="15" max="15" width="12.33203125" customWidth="1"/>
    <col min="16" max="16" width="12.109375" customWidth="1"/>
    <col min="17" max="17" width="12.33203125" customWidth="1"/>
    <col min="18" max="18" width="12.109375" customWidth="1"/>
    <col min="19" max="19" width="12.33203125" customWidth="1"/>
    <col min="20" max="20" width="12.6640625" customWidth="1"/>
    <col min="21" max="21" width="13.109375" customWidth="1"/>
    <col min="22" max="22" width="12.6640625" customWidth="1"/>
    <col min="23" max="23" width="13.109375" customWidth="1"/>
    <col min="24" max="24" width="12.6640625" customWidth="1"/>
    <col min="25" max="25" width="13.109375" customWidth="1"/>
    <col min="26" max="26" width="12.6640625" customWidth="1"/>
    <col min="27" max="28" width="13.109375" customWidth="1"/>
    <col min="29" max="29" width="13.33203125" customWidth="1"/>
    <col min="30" max="30" width="13.109375" customWidth="1"/>
    <col min="31" max="31" width="13.33203125" customWidth="1"/>
    <col min="32" max="32" width="13.109375" customWidth="1"/>
    <col min="33" max="33" width="13.33203125" customWidth="1"/>
    <col min="34" max="34" width="13.109375" customWidth="1"/>
    <col min="35" max="35" width="13.33203125" customWidth="1"/>
    <col min="36" max="36" width="13.109375" customWidth="1"/>
    <col min="37" max="37" width="13.33203125" customWidth="1"/>
    <col min="38" max="38" width="13.109375" customWidth="1"/>
    <col min="39" max="39" width="13.33203125" customWidth="1"/>
    <col min="40" max="40" width="13.109375" customWidth="1"/>
    <col min="41" max="41" width="13.33203125" customWidth="1"/>
    <col min="42" max="42" width="13.109375" customWidth="1"/>
    <col min="43" max="43" width="13.33203125" customWidth="1"/>
  </cols>
  <sheetData>
    <row r="1" spans="1:90" ht="15" thickBot="1" x14ac:dyDescent="0.35">
      <c r="A1" s="90" t="s">
        <v>683</v>
      </c>
      <c r="B1" s="90" t="s">
        <v>684</v>
      </c>
      <c r="C1" s="91" t="s">
        <v>685</v>
      </c>
      <c r="D1" s="92" t="s">
        <v>687</v>
      </c>
      <c r="E1" s="92" t="s">
        <v>688</v>
      </c>
      <c r="F1" s="92" t="s">
        <v>686</v>
      </c>
      <c r="G1" s="91" t="s">
        <v>689</v>
      </c>
      <c r="H1" s="92" t="s">
        <v>690</v>
      </c>
      <c r="I1" s="91" t="s">
        <v>691</v>
      </c>
      <c r="J1" s="92" t="s">
        <v>692</v>
      </c>
      <c r="K1" s="91" t="s">
        <v>693</v>
      </c>
      <c r="L1" s="92" t="s">
        <v>694</v>
      </c>
      <c r="M1" s="91" t="s">
        <v>695</v>
      </c>
      <c r="N1" s="92" t="s">
        <v>696</v>
      </c>
      <c r="O1" s="91" t="s">
        <v>697</v>
      </c>
      <c r="P1" s="92" t="s">
        <v>698</v>
      </c>
      <c r="Q1" s="91" t="s">
        <v>699</v>
      </c>
      <c r="R1" s="92" t="s">
        <v>700</v>
      </c>
      <c r="S1" s="91" t="s">
        <v>701</v>
      </c>
      <c r="T1" s="92" t="s">
        <v>702</v>
      </c>
      <c r="U1" s="91" t="s">
        <v>703</v>
      </c>
      <c r="V1" s="92" t="s">
        <v>704</v>
      </c>
      <c r="W1" s="91" t="s">
        <v>705</v>
      </c>
      <c r="X1" s="92" t="s">
        <v>706</v>
      </c>
      <c r="Y1" s="91" t="s">
        <v>707</v>
      </c>
      <c r="Z1" s="92" t="s">
        <v>708</v>
      </c>
      <c r="AA1" s="93" t="s">
        <v>709</v>
      </c>
      <c r="AB1" s="92" t="s">
        <v>710</v>
      </c>
      <c r="AC1" s="91" t="s">
        <v>711</v>
      </c>
      <c r="AD1" s="92" t="s">
        <v>712</v>
      </c>
      <c r="AE1" s="91" t="s">
        <v>713</v>
      </c>
      <c r="AF1" s="92" t="s">
        <v>714</v>
      </c>
      <c r="AG1" s="91" t="s">
        <v>715</v>
      </c>
      <c r="AH1" s="92" t="s">
        <v>716</v>
      </c>
      <c r="AI1" s="91" t="s">
        <v>717</v>
      </c>
      <c r="AJ1" s="92" t="s">
        <v>718</v>
      </c>
      <c r="AK1" s="91" t="s">
        <v>719</v>
      </c>
      <c r="AL1" s="92" t="s">
        <v>720</v>
      </c>
      <c r="AM1" s="91" t="s">
        <v>721</v>
      </c>
      <c r="AN1" s="92" t="s">
        <v>722</v>
      </c>
      <c r="AO1" s="91" t="s">
        <v>723</v>
      </c>
      <c r="AP1" s="92" t="s">
        <v>724</v>
      </c>
      <c r="AQ1" s="91" t="s">
        <v>725</v>
      </c>
      <c r="AV1" s="31" t="s">
        <v>683</v>
      </c>
      <c r="AW1" s="31" t="s">
        <v>684</v>
      </c>
      <c r="AX1" s="31" t="s">
        <v>685</v>
      </c>
      <c r="AY1" t="s">
        <v>687</v>
      </c>
      <c r="AZ1" t="s">
        <v>688</v>
      </c>
      <c r="BA1" t="s">
        <v>686</v>
      </c>
      <c r="BB1" t="s">
        <v>689</v>
      </c>
      <c r="BC1" t="s">
        <v>690</v>
      </c>
      <c r="BD1" t="s">
        <v>691</v>
      </c>
      <c r="BE1" t="s">
        <v>692</v>
      </c>
      <c r="BF1" t="s">
        <v>693</v>
      </c>
      <c r="BG1" t="s">
        <v>694</v>
      </c>
      <c r="BH1" t="s">
        <v>695</v>
      </c>
      <c r="BI1" t="s">
        <v>696</v>
      </c>
      <c r="BJ1" t="s">
        <v>697</v>
      </c>
      <c r="BK1" t="s">
        <v>698</v>
      </c>
      <c r="BL1" t="s">
        <v>699</v>
      </c>
      <c r="BM1" t="s">
        <v>700</v>
      </c>
      <c r="BN1" t="s">
        <v>701</v>
      </c>
      <c r="BO1" t="s">
        <v>702</v>
      </c>
      <c r="BP1" t="s">
        <v>703</v>
      </c>
      <c r="BQ1" t="s">
        <v>704</v>
      </c>
      <c r="BR1" t="s">
        <v>705</v>
      </c>
      <c r="BS1" t="s">
        <v>706</v>
      </c>
      <c r="BT1" t="s">
        <v>707</v>
      </c>
      <c r="BU1" t="s">
        <v>708</v>
      </c>
      <c r="BV1" t="s">
        <v>709</v>
      </c>
      <c r="BW1" t="s">
        <v>710</v>
      </c>
      <c r="BX1" t="s">
        <v>711</v>
      </c>
      <c r="BY1" t="s">
        <v>712</v>
      </c>
      <c r="BZ1" t="s">
        <v>713</v>
      </c>
      <c r="CA1" t="s">
        <v>714</v>
      </c>
      <c r="CB1" t="s">
        <v>715</v>
      </c>
      <c r="CC1" t="s">
        <v>716</v>
      </c>
      <c r="CD1" t="s">
        <v>717</v>
      </c>
      <c r="CE1" t="s">
        <v>718</v>
      </c>
      <c r="CF1" t="s">
        <v>719</v>
      </c>
      <c r="CG1" t="s">
        <v>720</v>
      </c>
      <c r="CH1" t="s">
        <v>721</v>
      </c>
      <c r="CI1" t="s">
        <v>722</v>
      </c>
      <c r="CJ1" t="s">
        <v>723</v>
      </c>
      <c r="CK1" t="s">
        <v>724</v>
      </c>
      <c r="CL1" t="s">
        <v>725</v>
      </c>
    </row>
    <row r="2" spans="1:90" ht="15" thickBot="1" x14ac:dyDescent="0.35">
      <c r="A2" s="89" t="s">
        <v>200</v>
      </c>
      <c r="B2" s="82" t="s">
        <v>533</v>
      </c>
      <c r="C2" s="82" t="s">
        <v>559</v>
      </c>
      <c r="D2" s="81">
        <v>0</v>
      </c>
      <c r="E2" s="81">
        <v>0</v>
      </c>
      <c r="F2" s="81">
        <v>0</v>
      </c>
      <c r="G2" s="81">
        <v>0</v>
      </c>
      <c r="H2" s="81">
        <v>0</v>
      </c>
      <c r="I2" s="81">
        <v>0</v>
      </c>
      <c r="J2" s="81">
        <v>0</v>
      </c>
      <c r="K2" s="81">
        <v>0</v>
      </c>
      <c r="L2" s="81">
        <v>0</v>
      </c>
      <c r="M2" s="81">
        <v>0</v>
      </c>
      <c r="N2" s="81">
        <v>0</v>
      </c>
      <c r="O2" s="81">
        <v>0</v>
      </c>
      <c r="P2" s="81">
        <v>0</v>
      </c>
      <c r="Q2" s="81">
        <v>0</v>
      </c>
      <c r="R2" s="81">
        <v>0</v>
      </c>
      <c r="S2" s="81">
        <v>0</v>
      </c>
      <c r="T2" s="81">
        <v>0</v>
      </c>
      <c r="U2" s="81">
        <v>0</v>
      </c>
      <c r="V2" s="81">
        <v>0</v>
      </c>
      <c r="W2" s="81">
        <v>0</v>
      </c>
      <c r="X2" s="81">
        <v>0</v>
      </c>
      <c r="Y2" s="81">
        <v>0</v>
      </c>
      <c r="Z2" s="81">
        <v>0</v>
      </c>
      <c r="AA2" s="81">
        <v>0</v>
      </c>
      <c r="AB2" s="81">
        <v>0</v>
      </c>
      <c r="AC2" s="81">
        <v>0</v>
      </c>
      <c r="AD2" s="81">
        <v>0</v>
      </c>
      <c r="AE2" s="81">
        <v>0</v>
      </c>
      <c r="AF2" s="81">
        <v>0</v>
      </c>
      <c r="AG2" s="81">
        <v>0</v>
      </c>
      <c r="AH2" s="81">
        <v>0</v>
      </c>
      <c r="AI2" s="81">
        <v>0</v>
      </c>
      <c r="AJ2" s="81">
        <v>0</v>
      </c>
      <c r="AK2" s="81">
        <v>0</v>
      </c>
      <c r="AL2" s="81">
        <v>0</v>
      </c>
      <c r="AM2" s="81">
        <v>0</v>
      </c>
      <c r="AN2" s="81">
        <v>0</v>
      </c>
      <c r="AO2" s="81">
        <v>0</v>
      </c>
      <c r="AP2" s="81">
        <v>0</v>
      </c>
      <c r="AQ2" s="81">
        <v>0</v>
      </c>
      <c r="AV2" s="31" t="s">
        <v>200</v>
      </c>
      <c r="AW2" s="31" t="s">
        <v>533</v>
      </c>
      <c r="AX2" s="31" t="s">
        <v>559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</row>
    <row r="3" spans="1:90" ht="15" thickBot="1" x14ac:dyDescent="0.35">
      <c r="A3" s="89">
        <v>3</v>
      </c>
      <c r="B3" s="82" t="s">
        <v>560</v>
      </c>
      <c r="C3" s="82" t="s">
        <v>561</v>
      </c>
      <c r="D3" s="81">
        <v>0</v>
      </c>
      <c r="E3" s="81">
        <v>0</v>
      </c>
      <c r="F3" s="81">
        <v>0</v>
      </c>
      <c r="G3" s="81">
        <v>0</v>
      </c>
      <c r="H3" s="81">
        <v>0</v>
      </c>
      <c r="I3" s="81">
        <v>0</v>
      </c>
      <c r="J3" s="81">
        <v>0</v>
      </c>
      <c r="K3" s="81">
        <v>0</v>
      </c>
      <c r="L3" s="81">
        <v>0</v>
      </c>
      <c r="M3" s="81">
        <v>0</v>
      </c>
      <c r="N3" s="81">
        <v>0</v>
      </c>
      <c r="O3" s="81">
        <v>0</v>
      </c>
      <c r="P3" s="81">
        <v>0</v>
      </c>
      <c r="Q3" s="81">
        <v>0</v>
      </c>
      <c r="R3" s="81">
        <v>0</v>
      </c>
      <c r="S3" s="81">
        <v>0</v>
      </c>
      <c r="T3" s="81">
        <v>0</v>
      </c>
      <c r="U3" s="81">
        <v>0</v>
      </c>
      <c r="V3" s="81">
        <v>0</v>
      </c>
      <c r="W3" s="81">
        <v>0</v>
      </c>
      <c r="X3" s="81">
        <v>0</v>
      </c>
      <c r="Y3" s="81">
        <v>0</v>
      </c>
      <c r="Z3" s="81">
        <v>0</v>
      </c>
      <c r="AA3" s="81">
        <v>0</v>
      </c>
      <c r="AB3" s="81">
        <v>0</v>
      </c>
      <c r="AC3" s="81">
        <v>0</v>
      </c>
      <c r="AD3" s="81">
        <v>0</v>
      </c>
      <c r="AE3" s="81">
        <v>0</v>
      </c>
      <c r="AF3" s="81">
        <v>0</v>
      </c>
      <c r="AG3" s="81">
        <v>0</v>
      </c>
      <c r="AH3" s="81">
        <v>0</v>
      </c>
      <c r="AI3" s="81">
        <v>0</v>
      </c>
      <c r="AJ3" s="81">
        <v>0</v>
      </c>
      <c r="AK3" s="81">
        <v>0</v>
      </c>
      <c r="AL3" s="81">
        <v>0</v>
      </c>
      <c r="AM3" s="81">
        <v>0</v>
      </c>
      <c r="AN3" s="81">
        <v>0</v>
      </c>
      <c r="AO3" s="81">
        <v>0</v>
      </c>
      <c r="AP3" s="81">
        <v>0</v>
      </c>
      <c r="AQ3" s="81">
        <v>0</v>
      </c>
      <c r="AV3" s="31">
        <v>3</v>
      </c>
      <c r="AW3" s="31" t="s">
        <v>560</v>
      </c>
      <c r="AX3" s="31" t="s">
        <v>561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</row>
    <row r="4" spans="1:90" ht="15" thickBot="1" x14ac:dyDescent="0.35">
      <c r="A4" s="89">
        <v>4</v>
      </c>
      <c r="B4" s="82" t="s">
        <v>562</v>
      </c>
      <c r="C4" s="82" t="s">
        <v>563</v>
      </c>
      <c r="D4" s="81">
        <v>0</v>
      </c>
      <c r="E4" s="81">
        <v>0</v>
      </c>
      <c r="F4" s="81">
        <v>0</v>
      </c>
      <c r="G4" s="81">
        <v>0</v>
      </c>
      <c r="H4" s="81">
        <v>0</v>
      </c>
      <c r="I4" s="81">
        <v>0</v>
      </c>
      <c r="J4" s="81">
        <v>0</v>
      </c>
      <c r="K4" s="81">
        <v>0</v>
      </c>
      <c r="L4" s="81">
        <v>0</v>
      </c>
      <c r="M4" s="81">
        <v>0</v>
      </c>
      <c r="N4" s="81">
        <v>0</v>
      </c>
      <c r="O4" s="81">
        <v>0</v>
      </c>
      <c r="P4" s="81">
        <v>0</v>
      </c>
      <c r="Q4" s="81">
        <v>0</v>
      </c>
      <c r="R4" s="81">
        <v>0</v>
      </c>
      <c r="S4" s="81">
        <v>0</v>
      </c>
      <c r="T4" s="81">
        <v>0</v>
      </c>
      <c r="U4" s="81">
        <v>0</v>
      </c>
      <c r="V4" s="81">
        <v>0</v>
      </c>
      <c r="W4" s="81">
        <v>0</v>
      </c>
      <c r="X4" s="81">
        <v>0</v>
      </c>
      <c r="Y4" s="81">
        <v>0</v>
      </c>
      <c r="Z4" s="81">
        <v>0</v>
      </c>
      <c r="AA4" s="81">
        <v>0</v>
      </c>
      <c r="AB4" s="81">
        <v>0</v>
      </c>
      <c r="AC4" s="81">
        <v>0</v>
      </c>
      <c r="AD4" s="81">
        <v>0</v>
      </c>
      <c r="AE4" s="81">
        <v>0</v>
      </c>
      <c r="AF4" s="81">
        <v>0</v>
      </c>
      <c r="AG4" s="81">
        <v>0</v>
      </c>
      <c r="AH4" s="81">
        <v>0</v>
      </c>
      <c r="AI4" s="81">
        <v>0</v>
      </c>
      <c r="AJ4" s="81">
        <v>0</v>
      </c>
      <c r="AK4" s="81">
        <v>0</v>
      </c>
      <c r="AL4" s="81">
        <v>0</v>
      </c>
      <c r="AM4" s="81">
        <v>0</v>
      </c>
      <c r="AN4" s="81">
        <v>0</v>
      </c>
      <c r="AO4" s="81">
        <v>0</v>
      </c>
      <c r="AP4" s="81">
        <v>0</v>
      </c>
      <c r="AQ4" s="81">
        <v>0</v>
      </c>
      <c r="AV4" s="31">
        <v>4</v>
      </c>
      <c r="AW4" s="31" t="s">
        <v>562</v>
      </c>
      <c r="AX4" s="31" t="s">
        <v>563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</row>
    <row r="5" spans="1:90" ht="15" thickBot="1" x14ac:dyDescent="0.35">
      <c r="A5" s="89">
        <v>5</v>
      </c>
      <c r="B5" s="82" t="s">
        <v>564</v>
      </c>
      <c r="C5" s="82" t="s">
        <v>565</v>
      </c>
      <c r="D5" s="81">
        <v>0</v>
      </c>
      <c r="E5" s="81">
        <v>0</v>
      </c>
      <c r="F5" s="81">
        <v>0</v>
      </c>
      <c r="G5" s="81">
        <v>0</v>
      </c>
      <c r="H5" s="81">
        <v>0</v>
      </c>
      <c r="I5" s="81">
        <v>0</v>
      </c>
      <c r="J5" s="81">
        <v>0</v>
      </c>
      <c r="K5" s="81">
        <v>0</v>
      </c>
      <c r="L5" s="81">
        <v>0</v>
      </c>
      <c r="M5" s="81">
        <v>0</v>
      </c>
      <c r="N5" s="81">
        <v>0</v>
      </c>
      <c r="O5" s="81">
        <v>0</v>
      </c>
      <c r="P5" s="81">
        <v>0</v>
      </c>
      <c r="Q5" s="81">
        <v>0</v>
      </c>
      <c r="R5" s="81">
        <v>0</v>
      </c>
      <c r="S5" s="81">
        <v>0</v>
      </c>
      <c r="T5" s="81">
        <v>0</v>
      </c>
      <c r="U5" s="81">
        <v>0</v>
      </c>
      <c r="V5" s="81">
        <v>0</v>
      </c>
      <c r="W5" s="81">
        <v>0</v>
      </c>
      <c r="X5" s="81">
        <v>0</v>
      </c>
      <c r="Y5" s="81">
        <v>0</v>
      </c>
      <c r="Z5" s="81">
        <v>0</v>
      </c>
      <c r="AA5" s="81">
        <v>0</v>
      </c>
      <c r="AB5" s="81">
        <v>0</v>
      </c>
      <c r="AC5" s="81">
        <v>0</v>
      </c>
      <c r="AD5" s="81">
        <v>0</v>
      </c>
      <c r="AE5" s="81">
        <v>0</v>
      </c>
      <c r="AF5" s="81">
        <v>0</v>
      </c>
      <c r="AG5" s="81">
        <v>0</v>
      </c>
      <c r="AH5" s="81">
        <v>0</v>
      </c>
      <c r="AI5" s="81">
        <v>0</v>
      </c>
      <c r="AJ5" s="81">
        <v>0</v>
      </c>
      <c r="AK5" s="81">
        <v>0</v>
      </c>
      <c r="AL5" s="81">
        <v>0</v>
      </c>
      <c r="AM5" s="81">
        <v>0</v>
      </c>
      <c r="AN5" s="81">
        <v>0</v>
      </c>
      <c r="AO5" s="81">
        <v>0</v>
      </c>
      <c r="AP5" s="81">
        <v>0</v>
      </c>
      <c r="AQ5" s="81">
        <v>0</v>
      </c>
      <c r="AV5" s="31">
        <v>5</v>
      </c>
      <c r="AW5" s="31" t="s">
        <v>564</v>
      </c>
      <c r="AX5" s="31" t="s">
        <v>565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</row>
    <row r="6" spans="1:90" ht="15" thickBot="1" x14ac:dyDescent="0.35">
      <c r="A6" s="89">
        <v>6</v>
      </c>
      <c r="B6" s="82" t="s">
        <v>566</v>
      </c>
      <c r="C6" s="82" t="s">
        <v>567</v>
      </c>
      <c r="D6" s="81">
        <v>0</v>
      </c>
      <c r="E6" s="81">
        <v>0</v>
      </c>
      <c r="F6" s="81">
        <v>0</v>
      </c>
      <c r="G6" s="81">
        <v>0</v>
      </c>
      <c r="H6" s="81">
        <v>0</v>
      </c>
      <c r="I6" s="81">
        <v>0</v>
      </c>
      <c r="J6" s="81">
        <v>0</v>
      </c>
      <c r="K6" s="81">
        <v>0</v>
      </c>
      <c r="L6" s="81">
        <v>0</v>
      </c>
      <c r="M6" s="81">
        <v>0</v>
      </c>
      <c r="N6" s="81">
        <v>0</v>
      </c>
      <c r="O6" s="81">
        <v>0</v>
      </c>
      <c r="P6" s="81">
        <v>0</v>
      </c>
      <c r="Q6" s="81">
        <v>0</v>
      </c>
      <c r="R6" s="81">
        <v>0</v>
      </c>
      <c r="S6" s="81">
        <v>0</v>
      </c>
      <c r="T6" s="81">
        <v>0</v>
      </c>
      <c r="U6" s="81">
        <v>0</v>
      </c>
      <c r="V6" s="81">
        <v>0</v>
      </c>
      <c r="W6" s="81">
        <v>0</v>
      </c>
      <c r="X6" s="81">
        <v>0</v>
      </c>
      <c r="Y6" s="81">
        <v>0</v>
      </c>
      <c r="Z6" s="81">
        <v>0</v>
      </c>
      <c r="AA6" s="81">
        <v>0</v>
      </c>
      <c r="AB6" s="81">
        <v>0</v>
      </c>
      <c r="AC6" s="81">
        <v>0</v>
      </c>
      <c r="AD6" s="81">
        <v>0</v>
      </c>
      <c r="AE6" s="81">
        <v>0</v>
      </c>
      <c r="AF6" s="81">
        <v>0</v>
      </c>
      <c r="AG6" s="81">
        <v>0</v>
      </c>
      <c r="AH6" s="81">
        <v>0</v>
      </c>
      <c r="AI6" s="81">
        <v>0</v>
      </c>
      <c r="AJ6" s="81">
        <v>0</v>
      </c>
      <c r="AK6" s="81">
        <v>0</v>
      </c>
      <c r="AL6" s="81">
        <v>0</v>
      </c>
      <c r="AM6" s="81">
        <v>0</v>
      </c>
      <c r="AN6" s="81">
        <v>0</v>
      </c>
      <c r="AO6" s="81">
        <v>0</v>
      </c>
      <c r="AP6" s="81">
        <v>0</v>
      </c>
      <c r="AQ6" s="81">
        <v>0</v>
      </c>
      <c r="AV6" s="31">
        <v>6</v>
      </c>
      <c r="AW6" s="31" t="s">
        <v>566</v>
      </c>
      <c r="AX6" s="31" t="s">
        <v>567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</row>
    <row r="7" spans="1:90" ht="15" thickBot="1" x14ac:dyDescent="0.35">
      <c r="A7" s="89">
        <v>8</v>
      </c>
      <c r="B7" s="82" t="s">
        <v>568</v>
      </c>
      <c r="C7" s="82" t="s">
        <v>569</v>
      </c>
      <c r="D7" s="81">
        <v>0</v>
      </c>
      <c r="E7" s="81">
        <v>0</v>
      </c>
      <c r="F7" s="81">
        <v>0</v>
      </c>
      <c r="G7" s="81">
        <v>0</v>
      </c>
      <c r="H7" s="81">
        <v>0</v>
      </c>
      <c r="I7" s="81">
        <v>0</v>
      </c>
      <c r="J7" s="81">
        <v>0</v>
      </c>
      <c r="K7" s="81">
        <v>0</v>
      </c>
      <c r="L7" s="81">
        <v>0</v>
      </c>
      <c r="M7" s="81">
        <v>0</v>
      </c>
      <c r="N7" s="81">
        <v>0</v>
      </c>
      <c r="O7" s="81">
        <v>0</v>
      </c>
      <c r="P7" s="81">
        <v>0</v>
      </c>
      <c r="Q7" s="81">
        <v>0</v>
      </c>
      <c r="R7" s="81">
        <v>0</v>
      </c>
      <c r="S7" s="81">
        <v>0</v>
      </c>
      <c r="T7" s="81">
        <v>0</v>
      </c>
      <c r="U7" s="81">
        <v>0</v>
      </c>
      <c r="V7" s="81">
        <v>0</v>
      </c>
      <c r="W7" s="81">
        <v>0</v>
      </c>
      <c r="X7" s="81">
        <v>0</v>
      </c>
      <c r="Y7" s="81">
        <v>0</v>
      </c>
      <c r="Z7" s="81">
        <v>0</v>
      </c>
      <c r="AA7" s="81">
        <v>0</v>
      </c>
      <c r="AB7" s="81">
        <v>0</v>
      </c>
      <c r="AC7" s="81">
        <v>0</v>
      </c>
      <c r="AD7" s="81">
        <v>0</v>
      </c>
      <c r="AE7" s="81">
        <v>0</v>
      </c>
      <c r="AF7" s="81">
        <v>0</v>
      </c>
      <c r="AG7" s="81">
        <v>0</v>
      </c>
      <c r="AH7" s="81">
        <v>0</v>
      </c>
      <c r="AI7" s="81">
        <v>0</v>
      </c>
      <c r="AJ7" s="81">
        <v>0</v>
      </c>
      <c r="AK7" s="81">
        <v>0</v>
      </c>
      <c r="AL7" s="81">
        <v>0</v>
      </c>
      <c r="AM7" s="81">
        <v>0</v>
      </c>
      <c r="AN7" s="81">
        <v>0</v>
      </c>
      <c r="AO7" s="81">
        <v>0</v>
      </c>
      <c r="AP7" s="81">
        <v>0</v>
      </c>
      <c r="AQ7" s="81">
        <v>0</v>
      </c>
      <c r="AV7" s="31">
        <v>8</v>
      </c>
      <c r="AW7" s="31" t="s">
        <v>568</v>
      </c>
      <c r="AX7" s="31" t="s">
        <v>569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</row>
    <row r="8" spans="1:90" ht="15" thickBot="1" x14ac:dyDescent="0.35">
      <c r="A8" s="89">
        <v>10</v>
      </c>
      <c r="B8" s="82" t="s">
        <v>570</v>
      </c>
      <c r="C8" s="82" t="s">
        <v>571</v>
      </c>
      <c r="D8" s="81">
        <v>0</v>
      </c>
      <c r="E8" s="81">
        <v>0</v>
      </c>
      <c r="F8" s="81">
        <v>0</v>
      </c>
      <c r="G8" s="81">
        <v>0</v>
      </c>
      <c r="H8" s="81">
        <v>0</v>
      </c>
      <c r="I8" s="81">
        <v>0</v>
      </c>
      <c r="J8" s="81">
        <v>0</v>
      </c>
      <c r="K8" s="81">
        <v>0</v>
      </c>
      <c r="L8" s="81">
        <v>0</v>
      </c>
      <c r="M8" s="81">
        <v>0</v>
      </c>
      <c r="N8" s="81">
        <v>0</v>
      </c>
      <c r="O8" s="81">
        <v>0</v>
      </c>
      <c r="P8" s="81">
        <v>0</v>
      </c>
      <c r="Q8" s="81">
        <v>0</v>
      </c>
      <c r="R8" s="81">
        <v>0</v>
      </c>
      <c r="S8" s="81">
        <v>0</v>
      </c>
      <c r="T8" s="81">
        <v>0</v>
      </c>
      <c r="U8" s="81">
        <v>0</v>
      </c>
      <c r="V8" s="81">
        <v>0</v>
      </c>
      <c r="W8" s="81">
        <v>0</v>
      </c>
      <c r="X8" s="81">
        <v>0</v>
      </c>
      <c r="Y8" s="81">
        <v>0</v>
      </c>
      <c r="Z8" s="81">
        <v>0</v>
      </c>
      <c r="AA8" s="81">
        <v>0</v>
      </c>
      <c r="AB8" s="81">
        <v>0</v>
      </c>
      <c r="AC8" s="81">
        <v>0</v>
      </c>
      <c r="AD8" s="81">
        <v>0</v>
      </c>
      <c r="AE8" s="81">
        <v>0</v>
      </c>
      <c r="AF8" s="81">
        <v>0</v>
      </c>
      <c r="AG8" s="81">
        <v>0</v>
      </c>
      <c r="AH8" s="81">
        <v>0</v>
      </c>
      <c r="AI8" s="81">
        <v>0</v>
      </c>
      <c r="AJ8" s="81">
        <v>0</v>
      </c>
      <c r="AK8" s="81">
        <v>0</v>
      </c>
      <c r="AL8" s="81">
        <v>0</v>
      </c>
      <c r="AM8" s="81">
        <v>0</v>
      </c>
      <c r="AN8" s="81">
        <v>0</v>
      </c>
      <c r="AO8" s="81">
        <v>0</v>
      </c>
      <c r="AP8" s="81">
        <v>0</v>
      </c>
      <c r="AQ8" s="81">
        <v>0</v>
      </c>
      <c r="AV8" s="31">
        <v>10</v>
      </c>
      <c r="AW8" s="31" t="s">
        <v>570</v>
      </c>
      <c r="AX8" s="31" t="s">
        <v>571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</row>
    <row r="9" spans="1:90" ht="15" thickBot="1" x14ac:dyDescent="0.35">
      <c r="A9" s="89">
        <v>12</v>
      </c>
      <c r="B9" s="82" t="s">
        <v>572</v>
      </c>
      <c r="C9" s="82" t="s">
        <v>573</v>
      </c>
      <c r="D9" s="81">
        <v>0</v>
      </c>
      <c r="E9" s="81">
        <v>0</v>
      </c>
      <c r="F9" s="81">
        <v>0</v>
      </c>
      <c r="G9" s="81">
        <v>0</v>
      </c>
      <c r="H9" s="81">
        <v>0</v>
      </c>
      <c r="I9" s="81">
        <v>0</v>
      </c>
      <c r="J9" s="81">
        <v>0</v>
      </c>
      <c r="K9" s="81">
        <v>0</v>
      </c>
      <c r="L9" s="81">
        <v>0</v>
      </c>
      <c r="M9" s="81">
        <v>0</v>
      </c>
      <c r="N9" s="81">
        <v>0</v>
      </c>
      <c r="O9" s="81">
        <v>0</v>
      </c>
      <c r="P9" s="81">
        <v>0</v>
      </c>
      <c r="Q9" s="81">
        <v>0</v>
      </c>
      <c r="R9" s="81">
        <v>0</v>
      </c>
      <c r="S9" s="81">
        <v>0</v>
      </c>
      <c r="T9" s="81">
        <v>0</v>
      </c>
      <c r="U9" s="81">
        <v>0</v>
      </c>
      <c r="V9" s="81">
        <v>0</v>
      </c>
      <c r="W9" s="81">
        <v>0</v>
      </c>
      <c r="X9" s="81">
        <v>0</v>
      </c>
      <c r="Y9" s="81">
        <v>0</v>
      </c>
      <c r="Z9" s="81">
        <v>0</v>
      </c>
      <c r="AA9" s="81">
        <v>0</v>
      </c>
      <c r="AB9" s="81">
        <v>0</v>
      </c>
      <c r="AC9" s="81">
        <v>0</v>
      </c>
      <c r="AD9" s="81">
        <v>0</v>
      </c>
      <c r="AE9" s="81">
        <v>0</v>
      </c>
      <c r="AF9" s="81">
        <v>0</v>
      </c>
      <c r="AG9" s="81">
        <v>0</v>
      </c>
      <c r="AH9" s="81">
        <v>0</v>
      </c>
      <c r="AI9" s="81">
        <v>0</v>
      </c>
      <c r="AJ9" s="81">
        <v>0</v>
      </c>
      <c r="AK9" s="81">
        <v>0</v>
      </c>
      <c r="AL9" s="81">
        <v>0</v>
      </c>
      <c r="AM9" s="81">
        <v>0</v>
      </c>
      <c r="AN9" s="81">
        <v>0</v>
      </c>
      <c r="AO9" s="81">
        <v>0</v>
      </c>
      <c r="AP9" s="81">
        <v>0</v>
      </c>
      <c r="AQ9" s="81">
        <v>0</v>
      </c>
      <c r="AV9" s="31">
        <v>12</v>
      </c>
      <c r="AW9" s="31" t="s">
        <v>572</v>
      </c>
      <c r="AX9" s="31" t="s">
        <v>573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</row>
    <row r="10" spans="1:90" ht="15" thickBot="1" x14ac:dyDescent="0.35">
      <c r="A10" s="89">
        <v>16</v>
      </c>
      <c r="B10" s="82" t="s">
        <v>574</v>
      </c>
      <c r="C10" s="82" t="s">
        <v>575</v>
      </c>
      <c r="D10" s="81">
        <v>0</v>
      </c>
      <c r="E10" s="81">
        <v>0</v>
      </c>
      <c r="F10" s="81">
        <v>0</v>
      </c>
      <c r="G10" s="81">
        <v>0</v>
      </c>
      <c r="H10" s="81">
        <v>0</v>
      </c>
      <c r="I10" s="81">
        <v>0</v>
      </c>
      <c r="J10" s="81">
        <v>0</v>
      </c>
      <c r="K10" s="81">
        <v>0</v>
      </c>
      <c r="L10" s="81">
        <v>0</v>
      </c>
      <c r="M10" s="81">
        <v>0</v>
      </c>
      <c r="N10" s="81">
        <v>0</v>
      </c>
      <c r="O10" s="81">
        <v>0</v>
      </c>
      <c r="P10" s="81">
        <v>0</v>
      </c>
      <c r="Q10" s="81">
        <v>0</v>
      </c>
      <c r="R10" s="81">
        <v>0</v>
      </c>
      <c r="S10" s="81">
        <v>0</v>
      </c>
      <c r="T10" s="81">
        <v>0</v>
      </c>
      <c r="U10" s="81">
        <v>0</v>
      </c>
      <c r="V10" s="81">
        <v>0</v>
      </c>
      <c r="W10" s="81">
        <v>0</v>
      </c>
      <c r="X10" s="81">
        <v>0</v>
      </c>
      <c r="Y10" s="81">
        <v>0</v>
      </c>
      <c r="Z10" s="81">
        <v>0</v>
      </c>
      <c r="AA10" s="81">
        <v>0</v>
      </c>
      <c r="AB10" s="81">
        <v>0</v>
      </c>
      <c r="AC10" s="81">
        <v>0</v>
      </c>
      <c r="AD10" s="81">
        <v>0</v>
      </c>
      <c r="AE10" s="81">
        <v>0</v>
      </c>
      <c r="AF10" s="81">
        <v>0</v>
      </c>
      <c r="AG10" s="81">
        <v>0</v>
      </c>
      <c r="AH10" s="81">
        <v>0</v>
      </c>
      <c r="AI10" s="81">
        <v>0</v>
      </c>
      <c r="AJ10" s="81">
        <v>0</v>
      </c>
      <c r="AK10" s="81">
        <v>0</v>
      </c>
      <c r="AL10" s="81">
        <v>0</v>
      </c>
      <c r="AM10" s="81">
        <v>0</v>
      </c>
      <c r="AN10" s="81">
        <v>0</v>
      </c>
      <c r="AO10" s="81">
        <v>0</v>
      </c>
      <c r="AP10" s="81">
        <v>0</v>
      </c>
      <c r="AQ10" s="81">
        <v>0</v>
      </c>
      <c r="AV10" s="31">
        <v>16</v>
      </c>
      <c r="AW10" s="31" t="s">
        <v>574</v>
      </c>
      <c r="AX10" s="31" t="s">
        <v>575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</row>
    <row r="11" spans="1:90" ht="15" thickBot="1" x14ac:dyDescent="0.35">
      <c r="A11" s="89">
        <v>20</v>
      </c>
      <c r="B11" s="82" t="s">
        <v>576</v>
      </c>
      <c r="C11" s="82" t="s">
        <v>577</v>
      </c>
      <c r="D11" s="82"/>
      <c r="E11" s="82"/>
      <c r="F11" s="82">
        <v>2</v>
      </c>
      <c r="G11" s="82">
        <v>4</v>
      </c>
      <c r="H11" s="81">
        <v>0</v>
      </c>
      <c r="I11" s="81">
        <v>0</v>
      </c>
      <c r="J11" s="81">
        <v>0</v>
      </c>
      <c r="K11" s="81">
        <v>0</v>
      </c>
      <c r="L11" s="81">
        <v>0</v>
      </c>
      <c r="M11" s="81">
        <v>0</v>
      </c>
      <c r="N11" s="81">
        <v>0</v>
      </c>
      <c r="O11" s="81">
        <v>0</v>
      </c>
      <c r="P11" s="81">
        <v>0</v>
      </c>
      <c r="Q11" s="81">
        <v>0</v>
      </c>
      <c r="R11" s="81">
        <v>0</v>
      </c>
      <c r="S11" s="81">
        <v>0</v>
      </c>
      <c r="T11" s="81">
        <v>0</v>
      </c>
      <c r="U11" s="81">
        <v>0</v>
      </c>
      <c r="V11" s="81">
        <v>0</v>
      </c>
      <c r="W11" s="81">
        <v>0</v>
      </c>
      <c r="X11" s="81">
        <v>0</v>
      </c>
      <c r="Y11" s="81">
        <v>0</v>
      </c>
      <c r="Z11" s="81">
        <v>0</v>
      </c>
      <c r="AA11" s="81">
        <v>0</v>
      </c>
      <c r="AB11" s="81">
        <v>0</v>
      </c>
      <c r="AC11" s="81">
        <v>0</v>
      </c>
      <c r="AD11" s="81">
        <v>0</v>
      </c>
      <c r="AE11" s="81">
        <v>0</v>
      </c>
      <c r="AF11" s="81">
        <v>0</v>
      </c>
      <c r="AG11" s="81">
        <v>0</v>
      </c>
      <c r="AH11" s="81">
        <v>0</v>
      </c>
      <c r="AI11" s="81">
        <v>0</v>
      </c>
      <c r="AJ11" s="81">
        <v>0</v>
      </c>
      <c r="AK11" s="81">
        <v>0</v>
      </c>
      <c r="AL11" s="81">
        <v>0</v>
      </c>
      <c r="AM11" s="81">
        <v>0</v>
      </c>
      <c r="AN11" s="81">
        <v>0</v>
      </c>
      <c r="AO11" s="81">
        <v>0</v>
      </c>
      <c r="AP11" s="81">
        <v>0</v>
      </c>
      <c r="AQ11" s="81">
        <v>0</v>
      </c>
      <c r="AV11" s="31">
        <v>20</v>
      </c>
      <c r="AW11" s="31" t="s">
        <v>576</v>
      </c>
      <c r="AX11" s="31" t="s">
        <v>577</v>
      </c>
      <c r="BA11">
        <v>2</v>
      </c>
      <c r="BB11">
        <v>4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</row>
    <row r="12" spans="1:90" ht="15" thickBot="1" x14ac:dyDescent="0.35">
      <c r="A12" s="89">
        <v>25</v>
      </c>
      <c r="B12" s="82" t="s">
        <v>578</v>
      </c>
      <c r="C12" s="82" t="s">
        <v>579</v>
      </c>
      <c r="D12" s="82"/>
      <c r="E12" s="82"/>
      <c r="F12" s="82"/>
      <c r="G12" s="82"/>
      <c r="H12" s="82" t="s">
        <v>580</v>
      </c>
      <c r="I12" s="82">
        <v>8</v>
      </c>
      <c r="J12" s="82" t="s">
        <v>214</v>
      </c>
      <c r="K12" s="82">
        <v>7</v>
      </c>
      <c r="L12" s="81">
        <v>0</v>
      </c>
      <c r="M12" s="81">
        <v>0</v>
      </c>
      <c r="N12" s="81">
        <v>0</v>
      </c>
      <c r="O12" s="81">
        <v>0</v>
      </c>
      <c r="P12" s="81">
        <v>0</v>
      </c>
      <c r="Q12" s="81">
        <v>0</v>
      </c>
      <c r="R12" s="81">
        <v>0</v>
      </c>
      <c r="S12" s="81">
        <v>0</v>
      </c>
      <c r="T12" s="81">
        <v>0</v>
      </c>
      <c r="U12" s="81">
        <v>0</v>
      </c>
      <c r="V12" s="81">
        <v>0</v>
      </c>
      <c r="W12" s="81">
        <v>0</v>
      </c>
      <c r="X12" s="81">
        <v>0</v>
      </c>
      <c r="Y12" s="81">
        <v>0</v>
      </c>
      <c r="Z12" s="81">
        <v>0</v>
      </c>
      <c r="AA12" s="81">
        <v>0</v>
      </c>
      <c r="AB12" s="81">
        <v>0</v>
      </c>
      <c r="AC12" s="81">
        <v>0</v>
      </c>
      <c r="AD12" s="81">
        <v>0</v>
      </c>
      <c r="AE12" s="81">
        <v>0</v>
      </c>
      <c r="AF12" s="81">
        <v>0</v>
      </c>
      <c r="AG12" s="81">
        <v>0</v>
      </c>
      <c r="AH12" s="81">
        <v>0</v>
      </c>
      <c r="AI12" s="81">
        <v>0</v>
      </c>
      <c r="AJ12" s="81">
        <v>0</v>
      </c>
      <c r="AK12" s="81">
        <v>0</v>
      </c>
      <c r="AL12" s="81">
        <v>0</v>
      </c>
      <c r="AM12" s="81">
        <v>0</v>
      </c>
      <c r="AN12" s="81">
        <v>0</v>
      </c>
      <c r="AO12" s="81">
        <v>0</v>
      </c>
      <c r="AP12" s="81">
        <v>0</v>
      </c>
      <c r="AQ12" s="81">
        <v>0</v>
      </c>
      <c r="AV12" s="31">
        <v>25</v>
      </c>
      <c r="AW12" s="31" t="s">
        <v>578</v>
      </c>
      <c r="AX12" s="31" t="s">
        <v>579</v>
      </c>
      <c r="BC12" t="s">
        <v>580</v>
      </c>
      <c r="BD12">
        <v>8</v>
      </c>
      <c r="BE12" t="s">
        <v>214</v>
      </c>
      <c r="BF12">
        <v>7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</row>
    <row r="13" spans="1:90" ht="15" thickBot="1" x14ac:dyDescent="0.35">
      <c r="A13" s="89">
        <v>30</v>
      </c>
      <c r="B13" s="82" t="s">
        <v>581</v>
      </c>
      <c r="C13" s="82" t="s">
        <v>582</v>
      </c>
      <c r="D13" s="82"/>
      <c r="E13" s="82"/>
      <c r="F13" s="82"/>
      <c r="G13" s="82"/>
      <c r="H13" s="82"/>
      <c r="I13" s="82"/>
      <c r="J13" s="82" t="s">
        <v>583</v>
      </c>
      <c r="K13" s="82">
        <v>12</v>
      </c>
      <c r="L13" s="82" t="s">
        <v>584</v>
      </c>
      <c r="M13" s="82">
        <v>10</v>
      </c>
      <c r="N13" s="82">
        <v>4</v>
      </c>
      <c r="O13" s="82">
        <v>8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  <c r="V13" s="81">
        <v>0</v>
      </c>
      <c r="W13" s="81">
        <v>0</v>
      </c>
      <c r="X13" s="81">
        <v>0</v>
      </c>
      <c r="Y13" s="81">
        <v>0</v>
      </c>
      <c r="Z13" s="81">
        <v>0</v>
      </c>
      <c r="AA13" s="81">
        <v>0</v>
      </c>
      <c r="AB13" s="81">
        <v>0</v>
      </c>
      <c r="AC13" s="81">
        <v>0</v>
      </c>
      <c r="AD13" s="81">
        <v>0</v>
      </c>
      <c r="AE13" s="81">
        <v>0</v>
      </c>
      <c r="AF13" s="81">
        <v>0</v>
      </c>
      <c r="AG13" s="81">
        <v>0</v>
      </c>
      <c r="AH13" s="81">
        <v>0</v>
      </c>
      <c r="AI13" s="81">
        <v>0</v>
      </c>
      <c r="AJ13" s="81">
        <v>0</v>
      </c>
      <c r="AK13" s="81">
        <v>0</v>
      </c>
      <c r="AL13" s="81">
        <v>0</v>
      </c>
      <c r="AM13" s="81">
        <v>0</v>
      </c>
      <c r="AN13" s="81">
        <v>0</v>
      </c>
      <c r="AO13" s="81">
        <v>0</v>
      </c>
      <c r="AP13" s="81">
        <v>0</v>
      </c>
      <c r="AQ13" s="81">
        <v>0</v>
      </c>
      <c r="AV13" s="31">
        <v>30</v>
      </c>
      <c r="AW13" s="31" t="s">
        <v>581</v>
      </c>
      <c r="AX13" s="31" t="s">
        <v>582</v>
      </c>
      <c r="BE13" t="s">
        <v>583</v>
      </c>
      <c r="BF13">
        <v>12</v>
      </c>
      <c r="BG13" t="s">
        <v>584</v>
      </c>
      <c r="BH13">
        <v>10</v>
      </c>
      <c r="BI13">
        <v>4</v>
      </c>
      <c r="BJ13">
        <v>8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</row>
    <row r="14" spans="1:90" ht="15" thickBot="1" x14ac:dyDescent="0.35">
      <c r="A14" s="89">
        <v>35</v>
      </c>
      <c r="B14" s="82" t="s">
        <v>585</v>
      </c>
      <c r="C14" s="82" t="s">
        <v>586</v>
      </c>
      <c r="D14" s="82"/>
      <c r="E14" s="82"/>
      <c r="F14" s="82"/>
      <c r="G14" s="82"/>
      <c r="H14" s="82"/>
      <c r="I14" s="82"/>
      <c r="J14" s="82"/>
      <c r="K14" s="82"/>
      <c r="L14" s="82" t="s">
        <v>587</v>
      </c>
      <c r="M14" s="82">
        <v>15</v>
      </c>
      <c r="N14" s="82">
        <v>9</v>
      </c>
      <c r="O14" s="82">
        <v>13</v>
      </c>
      <c r="P14" s="82">
        <v>6</v>
      </c>
      <c r="Q14" s="82">
        <v>11</v>
      </c>
      <c r="R14" s="81">
        <v>0</v>
      </c>
      <c r="S14" s="81">
        <v>0</v>
      </c>
      <c r="T14" s="81">
        <v>0</v>
      </c>
      <c r="U14" s="81">
        <v>0</v>
      </c>
      <c r="V14" s="81">
        <v>0</v>
      </c>
      <c r="W14" s="81">
        <v>0</v>
      </c>
      <c r="X14" s="81">
        <v>0</v>
      </c>
      <c r="Y14" s="81">
        <v>0</v>
      </c>
      <c r="Z14" s="81">
        <v>0</v>
      </c>
      <c r="AA14" s="81">
        <v>0</v>
      </c>
      <c r="AB14" s="81">
        <v>0</v>
      </c>
      <c r="AC14" s="81">
        <v>0</v>
      </c>
      <c r="AD14" s="81">
        <v>0</v>
      </c>
      <c r="AE14" s="81">
        <v>0</v>
      </c>
      <c r="AF14" s="81">
        <v>0</v>
      </c>
      <c r="AG14" s="81">
        <v>0</v>
      </c>
      <c r="AH14" s="81">
        <v>0</v>
      </c>
      <c r="AI14" s="81">
        <v>0</v>
      </c>
      <c r="AJ14" s="81">
        <v>0</v>
      </c>
      <c r="AK14" s="81">
        <v>0</v>
      </c>
      <c r="AL14" s="81">
        <v>0</v>
      </c>
      <c r="AM14" s="81">
        <v>0</v>
      </c>
      <c r="AN14" s="81">
        <v>0</v>
      </c>
      <c r="AO14" s="81">
        <v>0</v>
      </c>
      <c r="AP14" s="81">
        <v>0</v>
      </c>
      <c r="AQ14" s="81">
        <v>0</v>
      </c>
      <c r="AV14" s="31">
        <v>35</v>
      </c>
      <c r="AW14" s="31" t="s">
        <v>585</v>
      </c>
      <c r="AX14" s="31" t="s">
        <v>586</v>
      </c>
      <c r="BG14" t="s">
        <v>587</v>
      </c>
      <c r="BH14">
        <v>15</v>
      </c>
      <c r="BI14">
        <v>9</v>
      </c>
      <c r="BJ14">
        <v>13</v>
      </c>
      <c r="BK14">
        <v>6</v>
      </c>
      <c r="BL14">
        <v>11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</row>
    <row r="15" spans="1:90" ht="15" thickBot="1" x14ac:dyDescent="0.35">
      <c r="A15" s="89">
        <v>40</v>
      </c>
      <c r="B15" s="82" t="s">
        <v>588</v>
      </c>
      <c r="C15" s="82" t="s">
        <v>589</v>
      </c>
      <c r="D15" s="82"/>
      <c r="E15" s="82"/>
      <c r="F15" s="82"/>
      <c r="G15" s="82"/>
      <c r="H15" s="82"/>
      <c r="I15" s="82"/>
      <c r="J15" s="82"/>
      <c r="K15" s="82"/>
      <c r="L15" s="82" t="s">
        <v>590</v>
      </c>
      <c r="M15" s="82">
        <v>20</v>
      </c>
      <c r="N15" s="82">
        <v>14</v>
      </c>
      <c r="O15" s="82">
        <v>18</v>
      </c>
      <c r="P15" s="82">
        <v>11</v>
      </c>
      <c r="Q15" s="82">
        <v>16</v>
      </c>
      <c r="R15" s="82" t="s">
        <v>580</v>
      </c>
      <c r="S15" s="82">
        <v>12</v>
      </c>
      <c r="T15" s="81">
        <v>0</v>
      </c>
      <c r="U15" s="81">
        <v>0</v>
      </c>
      <c r="V15" s="81">
        <v>0</v>
      </c>
      <c r="W15" s="81">
        <v>0</v>
      </c>
      <c r="X15" s="81">
        <v>0</v>
      </c>
      <c r="Y15" s="81">
        <v>0</v>
      </c>
      <c r="Z15" s="81">
        <v>0</v>
      </c>
      <c r="AA15" s="81">
        <v>0</v>
      </c>
      <c r="AB15" s="81">
        <v>0</v>
      </c>
      <c r="AC15" s="81">
        <v>0</v>
      </c>
      <c r="AD15" s="81">
        <v>0</v>
      </c>
      <c r="AE15" s="81">
        <v>0</v>
      </c>
      <c r="AF15" s="81">
        <v>0</v>
      </c>
      <c r="AG15" s="81">
        <v>0</v>
      </c>
      <c r="AH15" s="81">
        <v>0</v>
      </c>
      <c r="AI15" s="81">
        <v>0</v>
      </c>
      <c r="AJ15" s="81">
        <v>0</v>
      </c>
      <c r="AK15" s="81">
        <v>0</v>
      </c>
      <c r="AL15" s="81">
        <v>0</v>
      </c>
      <c r="AM15" s="81">
        <v>0</v>
      </c>
      <c r="AN15" s="81">
        <v>0</v>
      </c>
      <c r="AO15" s="81">
        <v>0</v>
      </c>
      <c r="AP15" s="81">
        <v>0</v>
      </c>
      <c r="AQ15" s="81">
        <v>0</v>
      </c>
      <c r="AV15" s="31">
        <v>40</v>
      </c>
      <c r="AW15" s="31" t="s">
        <v>588</v>
      </c>
      <c r="AX15" s="31" t="s">
        <v>589</v>
      </c>
      <c r="BG15" t="s">
        <v>590</v>
      </c>
      <c r="BH15">
        <v>20</v>
      </c>
      <c r="BI15">
        <v>14</v>
      </c>
      <c r="BJ15">
        <v>18</v>
      </c>
      <c r="BK15">
        <v>11</v>
      </c>
      <c r="BL15">
        <v>16</v>
      </c>
      <c r="BM15" t="s">
        <v>580</v>
      </c>
      <c r="BN15">
        <v>12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</row>
    <row r="16" spans="1:90" ht="15" thickBot="1" x14ac:dyDescent="0.35">
      <c r="A16" s="89">
        <v>45</v>
      </c>
      <c r="B16" s="82" t="s">
        <v>591</v>
      </c>
      <c r="C16" s="82" t="s">
        <v>592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>
        <v>19</v>
      </c>
      <c r="O16" s="82">
        <v>23</v>
      </c>
      <c r="P16" s="82">
        <v>16</v>
      </c>
      <c r="Q16" s="82">
        <v>21</v>
      </c>
      <c r="R16" s="82" t="s">
        <v>593</v>
      </c>
      <c r="S16" s="82">
        <v>17</v>
      </c>
      <c r="T16" s="82" t="s">
        <v>247</v>
      </c>
      <c r="U16" s="82">
        <v>13</v>
      </c>
      <c r="V16" s="81">
        <v>0</v>
      </c>
      <c r="W16" s="81">
        <v>0</v>
      </c>
      <c r="X16" s="81">
        <v>0</v>
      </c>
      <c r="Y16" s="81">
        <v>0</v>
      </c>
      <c r="Z16" s="81">
        <v>0</v>
      </c>
      <c r="AA16" s="81">
        <v>0</v>
      </c>
      <c r="AB16" s="81">
        <v>0</v>
      </c>
      <c r="AC16" s="81">
        <v>0</v>
      </c>
      <c r="AD16" s="81">
        <v>0</v>
      </c>
      <c r="AE16" s="81">
        <v>0</v>
      </c>
      <c r="AF16" s="81">
        <v>0</v>
      </c>
      <c r="AG16" s="81">
        <v>0</v>
      </c>
      <c r="AH16" s="81">
        <v>0</v>
      </c>
      <c r="AI16" s="81">
        <v>0</v>
      </c>
      <c r="AJ16" s="81">
        <v>0</v>
      </c>
      <c r="AK16" s="81">
        <v>0</v>
      </c>
      <c r="AL16" s="81">
        <v>0</v>
      </c>
      <c r="AM16" s="81">
        <v>0</v>
      </c>
      <c r="AN16" s="81">
        <v>0</v>
      </c>
      <c r="AO16" s="81">
        <v>0</v>
      </c>
      <c r="AP16" s="81">
        <v>0</v>
      </c>
      <c r="AQ16" s="81">
        <v>0</v>
      </c>
      <c r="AV16" s="31">
        <v>45</v>
      </c>
      <c r="AW16" s="31" t="s">
        <v>591</v>
      </c>
      <c r="AX16" s="31" t="s">
        <v>592</v>
      </c>
      <c r="BI16">
        <v>19</v>
      </c>
      <c r="BJ16">
        <v>23</v>
      </c>
      <c r="BK16">
        <v>16</v>
      </c>
      <c r="BL16">
        <v>21</v>
      </c>
      <c r="BM16" t="s">
        <v>593</v>
      </c>
      <c r="BN16">
        <v>17</v>
      </c>
      <c r="BO16" t="s">
        <v>247</v>
      </c>
      <c r="BP16">
        <v>13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</row>
    <row r="17" spans="1:90" ht="15" thickBot="1" x14ac:dyDescent="0.35">
      <c r="A17" s="89">
        <v>50</v>
      </c>
      <c r="B17" s="82" t="s">
        <v>594</v>
      </c>
      <c r="C17" s="82" t="s">
        <v>595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>
        <v>24</v>
      </c>
      <c r="O17" s="82">
        <v>28</v>
      </c>
      <c r="P17" s="82">
        <v>21</v>
      </c>
      <c r="Q17" s="82">
        <v>26</v>
      </c>
      <c r="R17" s="82" t="s">
        <v>596</v>
      </c>
      <c r="S17" s="82">
        <v>22</v>
      </c>
      <c r="T17" s="82" t="s">
        <v>597</v>
      </c>
      <c r="U17" s="82">
        <v>18</v>
      </c>
      <c r="V17" s="81">
        <v>0</v>
      </c>
      <c r="W17" s="81">
        <v>0</v>
      </c>
      <c r="X17" s="81">
        <v>0</v>
      </c>
      <c r="Y17" s="81">
        <v>0</v>
      </c>
      <c r="Z17" s="81">
        <v>0</v>
      </c>
      <c r="AA17" s="81">
        <v>0</v>
      </c>
      <c r="AB17" s="81">
        <v>0</v>
      </c>
      <c r="AC17" s="81">
        <v>0</v>
      </c>
      <c r="AD17" s="81">
        <v>0</v>
      </c>
      <c r="AE17" s="81">
        <v>0</v>
      </c>
      <c r="AF17" s="81">
        <v>0</v>
      </c>
      <c r="AG17" s="81">
        <v>0</v>
      </c>
      <c r="AH17" s="81">
        <v>0</v>
      </c>
      <c r="AI17" s="81">
        <v>0</v>
      </c>
      <c r="AJ17" s="81">
        <v>0</v>
      </c>
      <c r="AK17" s="81">
        <v>0</v>
      </c>
      <c r="AL17" s="81">
        <v>0</v>
      </c>
      <c r="AM17" s="81">
        <v>0</v>
      </c>
      <c r="AN17" s="81">
        <v>0</v>
      </c>
      <c r="AO17" s="81">
        <v>0</v>
      </c>
      <c r="AP17" s="81">
        <v>0</v>
      </c>
      <c r="AQ17" s="81">
        <v>0</v>
      </c>
      <c r="AV17" s="31">
        <v>50</v>
      </c>
      <c r="AW17" s="31" t="s">
        <v>594</v>
      </c>
      <c r="AX17" s="31" t="s">
        <v>595</v>
      </c>
      <c r="BI17">
        <v>24</v>
      </c>
      <c r="BJ17">
        <v>28</v>
      </c>
      <c r="BK17">
        <v>21</v>
      </c>
      <c r="BL17">
        <v>26</v>
      </c>
      <c r="BM17" t="s">
        <v>596</v>
      </c>
      <c r="BN17">
        <v>22</v>
      </c>
      <c r="BO17" t="s">
        <v>597</v>
      </c>
      <c r="BP17">
        <v>18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</row>
    <row r="18" spans="1:90" ht="15" thickBot="1" x14ac:dyDescent="0.35">
      <c r="A18" s="89">
        <v>55</v>
      </c>
      <c r="B18" s="82" t="s">
        <v>598</v>
      </c>
      <c r="C18" s="82" t="s">
        <v>599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>
        <v>26</v>
      </c>
      <c r="Q18" s="82">
        <v>31</v>
      </c>
      <c r="R18" s="82" t="s">
        <v>600</v>
      </c>
      <c r="S18" s="82">
        <v>27</v>
      </c>
      <c r="T18" s="82" t="s">
        <v>501</v>
      </c>
      <c r="U18" s="82">
        <v>23</v>
      </c>
      <c r="V18" s="82" t="s">
        <v>601</v>
      </c>
      <c r="W18" s="82">
        <v>19</v>
      </c>
      <c r="X18" s="81">
        <v>0</v>
      </c>
      <c r="Y18" s="81">
        <v>0</v>
      </c>
      <c r="Z18" s="81">
        <v>0</v>
      </c>
      <c r="AA18" s="81">
        <v>0</v>
      </c>
      <c r="AB18" s="81">
        <v>0</v>
      </c>
      <c r="AC18" s="81">
        <v>0</v>
      </c>
      <c r="AD18" s="81">
        <v>0</v>
      </c>
      <c r="AE18" s="81">
        <v>0</v>
      </c>
      <c r="AF18" s="81">
        <v>0</v>
      </c>
      <c r="AG18" s="81">
        <v>0</v>
      </c>
      <c r="AH18" s="81">
        <v>0</v>
      </c>
      <c r="AI18" s="81">
        <v>0</v>
      </c>
      <c r="AJ18" s="81">
        <v>0</v>
      </c>
      <c r="AK18" s="81">
        <v>0</v>
      </c>
      <c r="AL18" s="81">
        <v>0</v>
      </c>
      <c r="AM18" s="81">
        <v>0</v>
      </c>
      <c r="AN18" s="81">
        <v>0</v>
      </c>
      <c r="AO18" s="81">
        <v>0</v>
      </c>
      <c r="AP18" s="81">
        <v>0</v>
      </c>
      <c r="AQ18" s="81">
        <v>0</v>
      </c>
      <c r="AV18" s="31">
        <v>55</v>
      </c>
      <c r="AW18" s="31" t="s">
        <v>598</v>
      </c>
      <c r="AX18" s="31" t="s">
        <v>599</v>
      </c>
      <c r="BK18">
        <v>26</v>
      </c>
      <c r="BL18">
        <v>31</v>
      </c>
      <c r="BM18" t="s">
        <v>600</v>
      </c>
      <c r="BN18">
        <v>27</v>
      </c>
      <c r="BO18" t="s">
        <v>501</v>
      </c>
      <c r="BP18">
        <v>23</v>
      </c>
      <c r="BQ18" t="s">
        <v>601</v>
      </c>
      <c r="BR18">
        <v>19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</row>
    <row r="19" spans="1:90" ht="15" thickBot="1" x14ac:dyDescent="0.35">
      <c r="A19" s="89">
        <v>60</v>
      </c>
      <c r="B19" s="82" t="s">
        <v>602</v>
      </c>
      <c r="C19" s="82" t="s">
        <v>603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>
        <v>31</v>
      </c>
      <c r="Q19" s="82">
        <v>36</v>
      </c>
      <c r="R19" s="82" t="s">
        <v>604</v>
      </c>
      <c r="S19" s="82">
        <v>32</v>
      </c>
      <c r="T19" s="82" t="s">
        <v>605</v>
      </c>
      <c r="U19" s="82">
        <v>28</v>
      </c>
      <c r="V19" s="82" t="s">
        <v>606</v>
      </c>
      <c r="W19" s="82">
        <v>24</v>
      </c>
      <c r="X19" s="82">
        <v>10</v>
      </c>
      <c r="Y19" s="82">
        <v>20</v>
      </c>
      <c r="Z19" s="81">
        <v>0</v>
      </c>
      <c r="AA19" s="81">
        <v>0</v>
      </c>
      <c r="AB19" s="81">
        <v>0</v>
      </c>
      <c r="AC19" s="81">
        <v>0</v>
      </c>
      <c r="AD19" s="81">
        <v>0</v>
      </c>
      <c r="AE19" s="81">
        <v>0</v>
      </c>
      <c r="AF19" s="81">
        <v>0</v>
      </c>
      <c r="AG19" s="81">
        <v>0</v>
      </c>
      <c r="AH19" s="81">
        <v>0</v>
      </c>
      <c r="AI19" s="81">
        <v>0</v>
      </c>
      <c r="AJ19" s="81">
        <v>0</v>
      </c>
      <c r="AK19" s="81">
        <v>0</v>
      </c>
      <c r="AL19" s="81">
        <v>0</v>
      </c>
      <c r="AM19" s="81">
        <v>0</v>
      </c>
      <c r="AN19" s="81">
        <v>0</v>
      </c>
      <c r="AO19" s="81">
        <v>0</v>
      </c>
      <c r="AP19" s="81">
        <v>0</v>
      </c>
      <c r="AQ19" s="81">
        <v>0</v>
      </c>
      <c r="AV19" s="31">
        <v>60</v>
      </c>
      <c r="AW19" s="31" t="s">
        <v>602</v>
      </c>
      <c r="AX19" s="31" t="s">
        <v>603</v>
      </c>
      <c r="BK19">
        <v>31</v>
      </c>
      <c r="BL19">
        <v>36</v>
      </c>
      <c r="BM19" t="s">
        <v>604</v>
      </c>
      <c r="BN19">
        <v>32</v>
      </c>
      <c r="BO19" t="s">
        <v>605</v>
      </c>
      <c r="BP19">
        <v>28</v>
      </c>
      <c r="BQ19" t="s">
        <v>606</v>
      </c>
      <c r="BR19">
        <v>24</v>
      </c>
      <c r="BS19">
        <v>10</v>
      </c>
      <c r="BT19">
        <v>20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</row>
    <row r="20" spans="1:90" ht="15" thickBot="1" x14ac:dyDescent="0.35">
      <c r="A20" s="89">
        <v>65</v>
      </c>
      <c r="B20" s="82" t="s">
        <v>607</v>
      </c>
      <c r="C20" s="82" t="s">
        <v>608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 t="s">
        <v>609</v>
      </c>
      <c r="S20" s="82">
        <v>37</v>
      </c>
      <c r="T20" s="82" t="s">
        <v>610</v>
      </c>
      <c r="U20" s="82">
        <v>33</v>
      </c>
      <c r="V20" s="82" t="s">
        <v>611</v>
      </c>
      <c r="W20" s="82">
        <v>29</v>
      </c>
      <c r="X20" s="82">
        <v>15</v>
      </c>
      <c r="Y20" s="82">
        <v>25</v>
      </c>
      <c r="Z20" s="82">
        <v>11</v>
      </c>
      <c r="AA20" s="82">
        <v>21</v>
      </c>
      <c r="AB20" s="81">
        <v>0</v>
      </c>
      <c r="AC20" s="81">
        <v>0</v>
      </c>
      <c r="AD20" s="81">
        <v>0</v>
      </c>
      <c r="AE20" s="81">
        <v>0</v>
      </c>
      <c r="AF20" s="81">
        <v>0</v>
      </c>
      <c r="AG20" s="81">
        <v>0</v>
      </c>
      <c r="AH20" s="81">
        <v>0</v>
      </c>
      <c r="AI20" s="81">
        <v>0</v>
      </c>
      <c r="AJ20" s="81">
        <v>0</v>
      </c>
      <c r="AK20" s="81">
        <v>0</v>
      </c>
      <c r="AL20" s="81">
        <v>0</v>
      </c>
      <c r="AM20" s="81">
        <v>0</v>
      </c>
      <c r="AN20" s="81">
        <v>0</v>
      </c>
      <c r="AO20" s="81">
        <v>0</v>
      </c>
      <c r="AP20" s="81">
        <v>0</v>
      </c>
      <c r="AQ20" s="81">
        <v>0</v>
      </c>
      <c r="AV20" s="31">
        <v>65</v>
      </c>
      <c r="AW20" s="31" t="s">
        <v>607</v>
      </c>
      <c r="AX20" s="31" t="s">
        <v>608</v>
      </c>
      <c r="BM20" t="s">
        <v>609</v>
      </c>
      <c r="BN20">
        <v>37</v>
      </c>
      <c r="BO20" t="s">
        <v>610</v>
      </c>
      <c r="BP20">
        <v>33</v>
      </c>
      <c r="BQ20" t="s">
        <v>611</v>
      </c>
      <c r="BR20">
        <v>29</v>
      </c>
      <c r="BS20">
        <v>15</v>
      </c>
      <c r="BT20">
        <v>25</v>
      </c>
      <c r="BU20">
        <v>11</v>
      </c>
      <c r="BV20">
        <v>21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</row>
    <row r="21" spans="1:90" ht="15" thickBot="1" x14ac:dyDescent="0.35">
      <c r="A21" s="89">
        <v>70</v>
      </c>
      <c r="B21" s="82" t="s">
        <v>612</v>
      </c>
      <c r="C21" s="82" t="s">
        <v>613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 t="s">
        <v>614</v>
      </c>
      <c r="S21" s="82">
        <v>42</v>
      </c>
      <c r="T21" s="82" t="s">
        <v>615</v>
      </c>
      <c r="U21" s="82">
        <v>38</v>
      </c>
      <c r="V21" s="82" t="s">
        <v>616</v>
      </c>
      <c r="W21" s="82">
        <v>34</v>
      </c>
      <c r="X21" s="82">
        <v>20</v>
      </c>
      <c r="Y21" s="82">
        <v>30</v>
      </c>
      <c r="Z21" s="82">
        <v>16</v>
      </c>
      <c r="AA21" s="82">
        <v>26</v>
      </c>
      <c r="AB21" s="81">
        <v>0</v>
      </c>
      <c r="AC21" s="81">
        <v>0</v>
      </c>
      <c r="AD21" s="81">
        <v>0</v>
      </c>
      <c r="AE21" s="81">
        <v>0</v>
      </c>
      <c r="AF21" s="81">
        <v>0</v>
      </c>
      <c r="AG21" s="81">
        <v>0</v>
      </c>
      <c r="AH21" s="81">
        <v>0</v>
      </c>
      <c r="AI21" s="81">
        <v>0</v>
      </c>
      <c r="AJ21" s="81">
        <v>0</v>
      </c>
      <c r="AK21" s="81">
        <v>0</v>
      </c>
      <c r="AL21" s="81">
        <v>0</v>
      </c>
      <c r="AM21" s="81">
        <v>0</v>
      </c>
      <c r="AN21" s="81">
        <v>0</v>
      </c>
      <c r="AO21" s="81">
        <v>0</v>
      </c>
      <c r="AP21" s="81">
        <v>0</v>
      </c>
      <c r="AQ21" s="81">
        <v>0</v>
      </c>
      <c r="AV21" s="31">
        <v>70</v>
      </c>
      <c r="AW21" s="31" t="s">
        <v>612</v>
      </c>
      <c r="AX21" s="31" t="s">
        <v>613</v>
      </c>
      <c r="BM21" t="s">
        <v>614</v>
      </c>
      <c r="BN21">
        <v>42</v>
      </c>
      <c r="BO21" t="s">
        <v>615</v>
      </c>
      <c r="BP21">
        <v>38</v>
      </c>
      <c r="BQ21" t="s">
        <v>616</v>
      </c>
      <c r="BR21">
        <v>34</v>
      </c>
      <c r="BS21">
        <v>20</v>
      </c>
      <c r="BT21">
        <v>30</v>
      </c>
      <c r="BU21">
        <v>16</v>
      </c>
      <c r="BV21">
        <v>26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</row>
    <row r="22" spans="1:90" ht="15" thickBot="1" x14ac:dyDescent="0.35">
      <c r="A22" s="89">
        <v>80</v>
      </c>
      <c r="B22" s="82" t="s">
        <v>617</v>
      </c>
      <c r="C22" s="82" t="s">
        <v>618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 t="s">
        <v>619</v>
      </c>
      <c r="S22" s="82">
        <v>52</v>
      </c>
      <c r="T22" s="82" t="s">
        <v>589</v>
      </c>
      <c r="U22" s="82">
        <v>48</v>
      </c>
      <c r="V22" s="82" t="s">
        <v>620</v>
      </c>
      <c r="W22" s="82">
        <v>44</v>
      </c>
      <c r="X22" s="82">
        <v>30</v>
      </c>
      <c r="Y22" s="82">
        <v>40</v>
      </c>
      <c r="Z22" s="82">
        <v>26</v>
      </c>
      <c r="AA22" s="82">
        <v>36</v>
      </c>
      <c r="AB22" s="82" t="s">
        <v>501</v>
      </c>
      <c r="AC22" s="82">
        <v>28</v>
      </c>
      <c r="AD22" s="81">
        <v>0</v>
      </c>
      <c r="AE22" s="81">
        <v>0</v>
      </c>
      <c r="AF22" s="81">
        <v>0</v>
      </c>
      <c r="AG22" s="81">
        <v>0</v>
      </c>
      <c r="AH22" s="81">
        <v>0</v>
      </c>
      <c r="AI22" s="81">
        <v>0</v>
      </c>
      <c r="AJ22" s="81">
        <v>0</v>
      </c>
      <c r="AK22" s="81">
        <v>0</v>
      </c>
      <c r="AL22" s="81">
        <v>0</v>
      </c>
      <c r="AM22" s="81">
        <v>0</v>
      </c>
      <c r="AN22" s="81">
        <v>0</v>
      </c>
      <c r="AO22" s="81">
        <v>0</v>
      </c>
      <c r="AP22" s="81">
        <v>0</v>
      </c>
      <c r="AQ22" s="81">
        <v>0</v>
      </c>
      <c r="AV22" s="31">
        <v>80</v>
      </c>
      <c r="AW22" s="31" t="s">
        <v>617</v>
      </c>
      <c r="AX22" s="31" t="s">
        <v>618</v>
      </c>
      <c r="BM22" t="s">
        <v>619</v>
      </c>
      <c r="BN22">
        <v>52</v>
      </c>
      <c r="BO22" t="s">
        <v>589</v>
      </c>
      <c r="BP22">
        <v>48</v>
      </c>
      <c r="BQ22" t="s">
        <v>620</v>
      </c>
      <c r="BR22">
        <v>44</v>
      </c>
      <c r="BS22">
        <v>30</v>
      </c>
      <c r="BT22">
        <v>40</v>
      </c>
      <c r="BU22">
        <v>26</v>
      </c>
      <c r="BV22">
        <v>36</v>
      </c>
      <c r="BW22" t="s">
        <v>501</v>
      </c>
      <c r="BX22">
        <v>28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</row>
    <row r="23" spans="1:90" ht="15" thickBot="1" x14ac:dyDescent="0.35">
      <c r="A23" s="89">
        <v>90</v>
      </c>
      <c r="B23" s="82" t="s">
        <v>621</v>
      </c>
      <c r="C23" s="82" t="s">
        <v>622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 t="s">
        <v>595</v>
      </c>
      <c r="U23" s="82">
        <v>58</v>
      </c>
      <c r="V23" s="82" t="s">
        <v>623</v>
      </c>
      <c r="W23" s="82">
        <v>54</v>
      </c>
      <c r="X23" s="82">
        <v>40</v>
      </c>
      <c r="Y23" s="82">
        <v>50</v>
      </c>
      <c r="Z23" s="82">
        <v>36</v>
      </c>
      <c r="AA23" s="82">
        <v>46</v>
      </c>
      <c r="AB23" s="82" t="s">
        <v>610</v>
      </c>
      <c r="AC23" s="82">
        <v>38</v>
      </c>
      <c r="AD23" s="82">
        <v>15</v>
      </c>
      <c r="AE23" s="82">
        <v>30</v>
      </c>
      <c r="AF23" s="81">
        <v>0</v>
      </c>
      <c r="AG23" s="81">
        <v>0</v>
      </c>
      <c r="AH23" s="81">
        <v>0</v>
      </c>
      <c r="AI23" s="81">
        <v>0</v>
      </c>
      <c r="AJ23" s="81">
        <v>0</v>
      </c>
      <c r="AK23" s="81">
        <v>0</v>
      </c>
      <c r="AL23" s="81">
        <v>0</v>
      </c>
      <c r="AM23" s="81">
        <v>0</v>
      </c>
      <c r="AN23" s="81">
        <v>0</v>
      </c>
      <c r="AO23" s="81">
        <v>0</v>
      </c>
      <c r="AP23" s="81">
        <v>0</v>
      </c>
      <c r="AQ23" s="81">
        <v>0</v>
      </c>
      <c r="AV23" s="31">
        <v>90</v>
      </c>
      <c r="AW23" s="31" t="s">
        <v>621</v>
      </c>
      <c r="AX23" s="31" t="s">
        <v>622</v>
      </c>
      <c r="BO23" t="s">
        <v>595</v>
      </c>
      <c r="BP23">
        <v>58</v>
      </c>
      <c r="BQ23" t="s">
        <v>623</v>
      </c>
      <c r="BR23">
        <v>54</v>
      </c>
      <c r="BS23">
        <v>40</v>
      </c>
      <c r="BT23">
        <v>50</v>
      </c>
      <c r="BU23">
        <v>36</v>
      </c>
      <c r="BV23">
        <v>46</v>
      </c>
      <c r="BW23" t="s">
        <v>610</v>
      </c>
      <c r="BX23">
        <v>38</v>
      </c>
      <c r="BY23">
        <v>15</v>
      </c>
      <c r="BZ23">
        <v>30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</row>
    <row r="24" spans="1:90" ht="15" thickBot="1" x14ac:dyDescent="0.35">
      <c r="A24" s="89">
        <v>100</v>
      </c>
      <c r="B24" s="82" t="s">
        <v>624</v>
      </c>
      <c r="C24" s="82" t="s">
        <v>625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 t="s">
        <v>626</v>
      </c>
      <c r="U24" s="82">
        <v>68</v>
      </c>
      <c r="V24" s="82" t="s">
        <v>627</v>
      </c>
      <c r="W24" s="82">
        <v>64</v>
      </c>
      <c r="X24" s="82">
        <v>50</v>
      </c>
      <c r="Y24" s="82">
        <v>60</v>
      </c>
      <c r="Z24" s="82">
        <v>46</v>
      </c>
      <c r="AA24" s="82">
        <v>56</v>
      </c>
      <c r="AB24" s="82" t="s">
        <v>586</v>
      </c>
      <c r="AC24" s="82">
        <v>48</v>
      </c>
      <c r="AD24" s="82">
        <v>25</v>
      </c>
      <c r="AE24" s="82">
        <v>40</v>
      </c>
      <c r="AF24" s="81">
        <v>0</v>
      </c>
      <c r="AG24" s="81">
        <v>0</v>
      </c>
      <c r="AH24" s="81">
        <v>0</v>
      </c>
      <c r="AI24" s="81">
        <v>0</v>
      </c>
      <c r="AJ24" s="81">
        <v>0</v>
      </c>
      <c r="AK24" s="81">
        <v>0</v>
      </c>
      <c r="AL24" s="81">
        <v>0</v>
      </c>
      <c r="AM24" s="81">
        <v>0</v>
      </c>
      <c r="AN24" s="81">
        <v>0</v>
      </c>
      <c r="AO24" s="81">
        <v>0</v>
      </c>
      <c r="AP24" s="81">
        <v>0</v>
      </c>
      <c r="AQ24" s="81">
        <v>0</v>
      </c>
      <c r="AV24" s="31">
        <v>100</v>
      </c>
      <c r="AW24" s="31" t="s">
        <v>624</v>
      </c>
      <c r="AX24" s="31" t="s">
        <v>625</v>
      </c>
      <c r="BO24" t="s">
        <v>626</v>
      </c>
      <c r="BP24">
        <v>68</v>
      </c>
      <c r="BQ24" t="s">
        <v>627</v>
      </c>
      <c r="BR24">
        <v>64</v>
      </c>
      <c r="BS24">
        <v>50</v>
      </c>
      <c r="BT24">
        <v>60</v>
      </c>
      <c r="BU24">
        <v>46</v>
      </c>
      <c r="BV24">
        <v>56</v>
      </c>
      <c r="BW24" t="s">
        <v>586</v>
      </c>
      <c r="BX24">
        <v>48</v>
      </c>
      <c r="BY24">
        <v>25</v>
      </c>
      <c r="BZ24">
        <v>40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</row>
    <row r="25" spans="1:90" ht="15" thickBot="1" x14ac:dyDescent="0.35">
      <c r="A25" s="89">
        <v>110</v>
      </c>
      <c r="B25" s="82" t="s">
        <v>628</v>
      </c>
      <c r="C25" s="82" t="s">
        <v>629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 t="s">
        <v>630</v>
      </c>
      <c r="W25" s="82">
        <v>74</v>
      </c>
      <c r="X25" s="82">
        <v>60</v>
      </c>
      <c r="Y25" s="82">
        <v>70</v>
      </c>
      <c r="Z25" s="82">
        <v>56</v>
      </c>
      <c r="AA25" s="82">
        <v>66</v>
      </c>
      <c r="AB25" s="82" t="s">
        <v>592</v>
      </c>
      <c r="AC25" s="82">
        <v>58</v>
      </c>
      <c r="AD25" s="82">
        <v>35</v>
      </c>
      <c r="AE25" s="82">
        <v>50</v>
      </c>
      <c r="AF25" s="82" t="s">
        <v>605</v>
      </c>
      <c r="AG25" s="82">
        <v>38</v>
      </c>
      <c r="AH25" s="81">
        <v>0</v>
      </c>
      <c r="AI25" s="81">
        <v>0</v>
      </c>
      <c r="AJ25" s="81">
        <v>0</v>
      </c>
      <c r="AK25" s="81">
        <v>0</v>
      </c>
      <c r="AL25" s="81">
        <v>0</v>
      </c>
      <c r="AM25" s="81">
        <v>0</v>
      </c>
      <c r="AN25" s="81">
        <v>0</v>
      </c>
      <c r="AO25" s="81">
        <v>0</v>
      </c>
      <c r="AP25" s="81">
        <v>0</v>
      </c>
      <c r="AQ25" s="81">
        <v>0</v>
      </c>
      <c r="AV25" s="31">
        <v>110</v>
      </c>
      <c r="AW25" s="31" t="s">
        <v>628</v>
      </c>
      <c r="AX25" s="31" t="s">
        <v>629</v>
      </c>
      <c r="BQ25" t="s">
        <v>630</v>
      </c>
      <c r="BR25">
        <v>74</v>
      </c>
      <c r="BS25">
        <v>60</v>
      </c>
      <c r="BT25">
        <v>70</v>
      </c>
      <c r="BU25">
        <v>56</v>
      </c>
      <c r="BV25">
        <v>66</v>
      </c>
      <c r="BW25" t="s">
        <v>592</v>
      </c>
      <c r="BX25">
        <v>58</v>
      </c>
      <c r="BY25">
        <v>35</v>
      </c>
      <c r="BZ25">
        <v>50</v>
      </c>
      <c r="CA25" t="s">
        <v>605</v>
      </c>
      <c r="CB25">
        <v>38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</row>
    <row r="26" spans="1:90" ht="15" thickBot="1" x14ac:dyDescent="0.35">
      <c r="A26" s="89">
        <v>120</v>
      </c>
      <c r="B26" s="82" t="s">
        <v>631</v>
      </c>
      <c r="C26" s="82" t="s">
        <v>632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 t="s">
        <v>633</v>
      </c>
      <c r="W26" s="82">
        <v>84</v>
      </c>
      <c r="X26" s="82">
        <v>70</v>
      </c>
      <c r="Y26" s="82">
        <v>80</v>
      </c>
      <c r="Z26" s="82">
        <v>66</v>
      </c>
      <c r="AA26" s="82">
        <v>76</v>
      </c>
      <c r="AB26" s="82" t="s">
        <v>656</v>
      </c>
      <c r="AC26" s="82">
        <v>68</v>
      </c>
      <c r="AD26" s="82">
        <v>45</v>
      </c>
      <c r="AE26" s="82">
        <v>60</v>
      </c>
      <c r="AF26" s="82" t="s">
        <v>615</v>
      </c>
      <c r="AG26" s="82">
        <v>48</v>
      </c>
      <c r="AH26" s="82">
        <v>16</v>
      </c>
      <c r="AI26" s="82">
        <v>36</v>
      </c>
      <c r="AJ26" s="81">
        <v>0</v>
      </c>
      <c r="AK26" s="81">
        <v>0</v>
      </c>
      <c r="AL26" s="81">
        <v>0</v>
      </c>
      <c r="AM26" s="81">
        <v>0</v>
      </c>
      <c r="AN26" s="81">
        <v>0</v>
      </c>
      <c r="AO26" s="81">
        <v>0</v>
      </c>
      <c r="AP26" s="81">
        <v>0</v>
      </c>
      <c r="AQ26" s="81">
        <v>0</v>
      </c>
      <c r="AV26" s="31">
        <v>120</v>
      </c>
      <c r="AW26" s="31" t="s">
        <v>631</v>
      </c>
      <c r="AX26" s="31" t="s">
        <v>632</v>
      </c>
      <c r="BQ26" t="s">
        <v>633</v>
      </c>
      <c r="BR26">
        <v>84</v>
      </c>
      <c r="BS26">
        <v>70</v>
      </c>
      <c r="BT26">
        <v>80</v>
      </c>
      <c r="BU26">
        <v>66</v>
      </c>
      <c r="BV26">
        <v>76</v>
      </c>
      <c r="BW26" t="s">
        <v>656</v>
      </c>
      <c r="BX26">
        <v>68</v>
      </c>
      <c r="BY26">
        <v>45</v>
      </c>
      <c r="BZ26">
        <v>60</v>
      </c>
      <c r="CA26" t="s">
        <v>615</v>
      </c>
      <c r="CB26">
        <v>48</v>
      </c>
      <c r="CC26">
        <v>16</v>
      </c>
      <c r="CD26">
        <v>36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</row>
    <row r="27" spans="1:90" ht="15" thickBot="1" x14ac:dyDescent="0.35">
      <c r="A27" s="89">
        <v>130</v>
      </c>
      <c r="B27" s="82" t="s">
        <v>634</v>
      </c>
      <c r="C27" s="82" t="s">
        <v>635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>
        <v>80</v>
      </c>
      <c r="Y27" s="82">
        <v>90</v>
      </c>
      <c r="Z27" s="82">
        <v>76</v>
      </c>
      <c r="AA27" s="82">
        <v>86</v>
      </c>
      <c r="AB27" s="82" t="s">
        <v>657</v>
      </c>
      <c r="AC27" s="82">
        <v>78</v>
      </c>
      <c r="AD27" s="82">
        <v>55</v>
      </c>
      <c r="AE27" s="82">
        <v>70</v>
      </c>
      <c r="AF27" s="82" t="s">
        <v>589</v>
      </c>
      <c r="AG27" s="82">
        <v>58</v>
      </c>
      <c r="AH27" s="82">
        <v>26</v>
      </c>
      <c r="AI27" s="82">
        <v>46</v>
      </c>
      <c r="AJ27" s="81">
        <v>0</v>
      </c>
      <c r="AK27" s="81">
        <v>0</v>
      </c>
      <c r="AL27" s="81">
        <v>0</v>
      </c>
      <c r="AM27" s="81">
        <v>0</v>
      </c>
      <c r="AN27" s="81">
        <v>0</v>
      </c>
      <c r="AO27" s="81">
        <v>0</v>
      </c>
      <c r="AP27" s="81">
        <v>0</v>
      </c>
      <c r="AQ27" s="81">
        <v>0</v>
      </c>
      <c r="AV27" s="31">
        <v>130</v>
      </c>
      <c r="AW27" s="31" t="s">
        <v>634</v>
      </c>
      <c r="AX27" s="31" t="s">
        <v>635</v>
      </c>
      <c r="BS27">
        <v>80</v>
      </c>
      <c r="BT27">
        <v>90</v>
      </c>
      <c r="BU27">
        <v>76</v>
      </c>
      <c r="BV27">
        <v>86</v>
      </c>
      <c r="BW27" t="s">
        <v>657</v>
      </c>
      <c r="BX27">
        <v>78</v>
      </c>
      <c r="BY27">
        <v>55</v>
      </c>
      <c r="BZ27">
        <v>70</v>
      </c>
      <c r="CA27" t="s">
        <v>589</v>
      </c>
      <c r="CB27">
        <v>58</v>
      </c>
      <c r="CC27">
        <v>26</v>
      </c>
      <c r="CD27">
        <v>46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</row>
    <row r="28" spans="1:90" ht="15" thickBot="1" x14ac:dyDescent="0.35">
      <c r="A28" s="89">
        <v>140</v>
      </c>
      <c r="B28" s="82" t="s">
        <v>636</v>
      </c>
      <c r="C28" s="82" t="s">
        <v>637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>
        <v>90</v>
      </c>
      <c r="Y28" s="82">
        <v>100</v>
      </c>
      <c r="Z28" s="82">
        <v>86</v>
      </c>
      <c r="AA28" s="82">
        <v>96</v>
      </c>
      <c r="AB28" s="82" t="s">
        <v>658</v>
      </c>
      <c r="AC28" s="82">
        <v>88</v>
      </c>
      <c r="AD28" s="82">
        <v>65</v>
      </c>
      <c r="AE28" s="82">
        <v>80</v>
      </c>
      <c r="AF28" s="82" t="s">
        <v>595</v>
      </c>
      <c r="AG28" s="82">
        <v>68</v>
      </c>
      <c r="AH28" s="82">
        <v>36</v>
      </c>
      <c r="AI28" s="82">
        <v>56</v>
      </c>
      <c r="AJ28" s="82" t="s">
        <v>659</v>
      </c>
      <c r="AK28" s="82">
        <v>44</v>
      </c>
      <c r="AL28" s="81">
        <v>0</v>
      </c>
      <c r="AM28" s="81">
        <v>0</v>
      </c>
      <c r="AN28" s="81">
        <v>0</v>
      </c>
      <c r="AO28" s="81">
        <v>0</v>
      </c>
      <c r="AP28" s="81">
        <v>0</v>
      </c>
      <c r="AQ28" s="81">
        <v>0</v>
      </c>
      <c r="AV28" s="31">
        <v>140</v>
      </c>
      <c r="AW28" s="31" t="s">
        <v>636</v>
      </c>
      <c r="AX28" s="31" t="s">
        <v>637</v>
      </c>
      <c r="BS28">
        <v>90</v>
      </c>
      <c r="BT28">
        <v>100</v>
      </c>
      <c r="BU28">
        <v>86</v>
      </c>
      <c r="BV28">
        <v>96</v>
      </c>
      <c r="BW28" t="s">
        <v>658</v>
      </c>
      <c r="BX28">
        <v>88</v>
      </c>
      <c r="BY28">
        <v>65</v>
      </c>
      <c r="BZ28">
        <v>80</v>
      </c>
      <c r="CA28" t="s">
        <v>595</v>
      </c>
      <c r="CB28">
        <v>68</v>
      </c>
      <c r="CC28">
        <v>36</v>
      </c>
      <c r="CD28">
        <v>56</v>
      </c>
      <c r="CE28" t="s">
        <v>659</v>
      </c>
      <c r="CF28">
        <v>44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</row>
    <row r="29" spans="1:90" ht="15" thickBot="1" x14ac:dyDescent="0.35">
      <c r="A29" s="89">
        <v>150</v>
      </c>
      <c r="B29" s="82" t="s">
        <v>638</v>
      </c>
      <c r="C29" s="82" t="s">
        <v>639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>
        <v>96</v>
      </c>
      <c r="AA29" s="82">
        <v>106</v>
      </c>
      <c r="AB29" s="82" t="s">
        <v>660</v>
      </c>
      <c r="AC29" s="82">
        <v>98</v>
      </c>
      <c r="AD29" s="82">
        <v>75</v>
      </c>
      <c r="AE29" s="82">
        <v>90</v>
      </c>
      <c r="AF29" s="82" t="s">
        <v>626</v>
      </c>
      <c r="AG29" s="82">
        <v>78</v>
      </c>
      <c r="AH29" s="82">
        <v>46</v>
      </c>
      <c r="AI29" s="82">
        <v>66</v>
      </c>
      <c r="AJ29" s="82" t="s">
        <v>661</v>
      </c>
      <c r="AK29" s="82">
        <v>54</v>
      </c>
      <c r="AL29" s="81">
        <v>0</v>
      </c>
      <c r="AM29" s="81">
        <v>0</v>
      </c>
      <c r="AN29" s="81">
        <v>0</v>
      </c>
      <c r="AO29" s="81">
        <v>0</v>
      </c>
      <c r="AP29" s="81">
        <v>0</v>
      </c>
      <c r="AQ29" s="81">
        <v>0</v>
      </c>
      <c r="AV29" s="31">
        <v>150</v>
      </c>
      <c r="AW29" s="31" t="s">
        <v>638</v>
      </c>
      <c r="AX29" s="31" t="s">
        <v>639</v>
      </c>
      <c r="BU29">
        <v>96</v>
      </c>
      <c r="BV29">
        <v>106</v>
      </c>
      <c r="BW29" t="s">
        <v>660</v>
      </c>
      <c r="BX29">
        <v>98</v>
      </c>
      <c r="BY29">
        <v>75</v>
      </c>
      <c r="BZ29">
        <v>90</v>
      </c>
      <c r="CA29" t="s">
        <v>626</v>
      </c>
      <c r="CB29">
        <v>78</v>
      </c>
      <c r="CC29">
        <v>46</v>
      </c>
      <c r="CD29">
        <v>66</v>
      </c>
      <c r="CE29" t="s">
        <v>661</v>
      </c>
      <c r="CF29">
        <v>54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</row>
    <row r="30" spans="1:90" ht="15" thickBot="1" x14ac:dyDescent="0.35">
      <c r="A30" s="89">
        <v>160</v>
      </c>
      <c r="B30" s="82" t="s">
        <v>640</v>
      </c>
      <c r="C30" s="82" t="s">
        <v>641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>
        <v>106</v>
      </c>
      <c r="AA30" s="82">
        <v>116</v>
      </c>
      <c r="AB30" s="82" t="s">
        <v>662</v>
      </c>
      <c r="AC30" s="82">
        <v>108</v>
      </c>
      <c r="AD30" s="82">
        <v>85</v>
      </c>
      <c r="AE30" s="82">
        <v>100</v>
      </c>
      <c r="AF30" s="82" t="s">
        <v>663</v>
      </c>
      <c r="AG30" s="82">
        <v>88</v>
      </c>
      <c r="AH30" s="82">
        <v>56</v>
      </c>
      <c r="AI30" s="82">
        <v>76</v>
      </c>
      <c r="AJ30" s="82" t="s">
        <v>664</v>
      </c>
      <c r="AK30" s="82">
        <v>64</v>
      </c>
      <c r="AL30" s="82">
        <v>27</v>
      </c>
      <c r="AM30" s="82">
        <v>52</v>
      </c>
      <c r="AN30" s="81">
        <v>0</v>
      </c>
      <c r="AO30" s="81">
        <v>0</v>
      </c>
      <c r="AP30" s="81">
        <v>0</v>
      </c>
      <c r="AQ30" s="81">
        <v>0</v>
      </c>
      <c r="AV30" s="31">
        <v>160</v>
      </c>
      <c r="AW30" s="31" t="s">
        <v>640</v>
      </c>
      <c r="AX30" s="31" t="s">
        <v>641</v>
      </c>
      <c r="BU30">
        <v>106</v>
      </c>
      <c r="BV30">
        <v>116</v>
      </c>
      <c r="BW30" t="s">
        <v>662</v>
      </c>
      <c r="BX30">
        <v>108</v>
      </c>
      <c r="BY30">
        <v>85</v>
      </c>
      <c r="BZ30">
        <v>100</v>
      </c>
      <c r="CA30" t="s">
        <v>663</v>
      </c>
      <c r="CB30">
        <v>88</v>
      </c>
      <c r="CC30">
        <v>56</v>
      </c>
      <c r="CD30">
        <v>76</v>
      </c>
      <c r="CE30" t="s">
        <v>664</v>
      </c>
      <c r="CF30">
        <v>64</v>
      </c>
      <c r="CG30">
        <v>27</v>
      </c>
      <c r="CH30">
        <v>52</v>
      </c>
      <c r="CI30">
        <v>0</v>
      </c>
      <c r="CJ30">
        <v>0</v>
      </c>
      <c r="CK30">
        <v>0</v>
      </c>
      <c r="CL30">
        <v>0</v>
      </c>
    </row>
    <row r="31" spans="1:90" ht="15" thickBot="1" x14ac:dyDescent="0.35">
      <c r="A31" s="89">
        <v>180</v>
      </c>
      <c r="B31" s="82" t="s">
        <v>642</v>
      </c>
      <c r="C31" s="82" t="s">
        <v>643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 t="s">
        <v>665</v>
      </c>
      <c r="AC31" s="82">
        <v>128</v>
      </c>
      <c r="AD31" s="82">
        <v>105</v>
      </c>
      <c r="AE31" s="82">
        <v>120</v>
      </c>
      <c r="AF31" s="82" t="s">
        <v>666</v>
      </c>
      <c r="AG31" s="82">
        <v>108</v>
      </c>
      <c r="AH31" s="82">
        <v>76</v>
      </c>
      <c r="AI31" s="82">
        <v>96</v>
      </c>
      <c r="AJ31" s="82" t="s">
        <v>667</v>
      </c>
      <c r="AK31" s="82">
        <v>84</v>
      </c>
      <c r="AL31" s="82">
        <v>47</v>
      </c>
      <c r="AM31" s="82">
        <v>72</v>
      </c>
      <c r="AN31" s="82" t="s">
        <v>668</v>
      </c>
      <c r="AO31" s="82">
        <v>56</v>
      </c>
      <c r="AP31" s="81">
        <v>0</v>
      </c>
      <c r="AQ31" s="81">
        <v>0</v>
      </c>
      <c r="AV31" s="31">
        <v>180</v>
      </c>
      <c r="AW31" s="31" t="s">
        <v>642</v>
      </c>
      <c r="AX31" s="31" t="s">
        <v>643</v>
      </c>
      <c r="BW31" t="s">
        <v>665</v>
      </c>
      <c r="BX31">
        <v>128</v>
      </c>
      <c r="BY31">
        <v>105</v>
      </c>
      <c r="BZ31">
        <v>120</v>
      </c>
      <c r="CA31" t="s">
        <v>666</v>
      </c>
      <c r="CB31">
        <v>108</v>
      </c>
      <c r="CC31">
        <v>76</v>
      </c>
      <c r="CD31">
        <v>96</v>
      </c>
      <c r="CE31" t="s">
        <v>667</v>
      </c>
      <c r="CF31">
        <v>84</v>
      </c>
      <c r="CG31">
        <v>47</v>
      </c>
      <c r="CH31">
        <v>72</v>
      </c>
      <c r="CI31" t="s">
        <v>668</v>
      </c>
      <c r="CJ31">
        <v>56</v>
      </c>
      <c r="CK31">
        <v>0</v>
      </c>
      <c r="CL31">
        <v>0</v>
      </c>
    </row>
    <row r="32" spans="1:90" ht="15" thickBot="1" x14ac:dyDescent="0.35">
      <c r="A32" s="89">
        <v>200</v>
      </c>
      <c r="B32" s="82" t="s">
        <v>644</v>
      </c>
      <c r="C32" s="82" t="s">
        <v>645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 t="s">
        <v>669</v>
      </c>
      <c r="AC32" s="82">
        <v>148</v>
      </c>
      <c r="AD32" s="82">
        <v>125</v>
      </c>
      <c r="AE32" s="82">
        <v>140</v>
      </c>
      <c r="AF32" s="82" t="s">
        <v>670</v>
      </c>
      <c r="AG32" s="82">
        <v>128</v>
      </c>
      <c r="AH32" s="82">
        <v>96</v>
      </c>
      <c r="AI32" s="82">
        <v>116</v>
      </c>
      <c r="AJ32" s="82" t="s">
        <v>671</v>
      </c>
      <c r="AK32" s="82">
        <v>104</v>
      </c>
      <c r="AL32" s="82">
        <v>67</v>
      </c>
      <c r="AM32" s="82">
        <v>92</v>
      </c>
      <c r="AN32" s="82" t="s">
        <v>672</v>
      </c>
      <c r="AO32" s="82">
        <v>76</v>
      </c>
      <c r="AP32" s="82">
        <v>30</v>
      </c>
      <c r="AQ32" s="82">
        <v>60</v>
      </c>
      <c r="AV32" s="31">
        <v>200</v>
      </c>
      <c r="AW32" s="31" t="s">
        <v>644</v>
      </c>
      <c r="AX32" s="31" t="s">
        <v>645</v>
      </c>
      <c r="BW32" t="s">
        <v>669</v>
      </c>
      <c r="BX32">
        <v>148</v>
      </c>
      <c r="BY32">
        <v>125</v>
      </c>
      <c r="BZ32">
        <v>140</v>
      </c>
      <c r="CA32" t="s">
        <v>670</v>
      </c>
      <c r="CB32">
        <v>128</v>
      </c>
      <c r="CC32">
        <v>96</v>
      </c>
      <c r="CD32">
        <v>116</v>
      </c>
      <c r="CE32" t="s">
        <v>671</v>
      </c>
      <c r="CF32">
        <v>104</v>
      </c>
      <c r="CG32">
        <v>67</v>
      </c>
      <c r="CH32">
        <v>92</v>
      </c>
      <c r="CI32" t="s">
        <v>672</v>
      </c>
      <c r="CJ32">
        <v>76</v>
      </c>
      <c r="CK32">
        <v>30</v>
      </c>
      <c r="CL32">
        <v>60</v>
      </c>
    </row>
    <row r="33" spans="1:90" ht="15" thickBot="1" x14ac:dyDescent="0.35">
      <c r="A33" s="89">
        <v>220</v>
      </c>
      <c r="B33" s="82" t="s">
        <v>646</v>
      </c>
      <c r="C33" s="82" t="s">
        <v>647</v>
      </c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 t="s">
        <v>673</v>
      </c>
      <c r="AK33" s="82">
        <v>124</v>
      </c>
      <c r="AL33" s="82">
        <v>87</v>
      </c>
      <c r="AM33" s="82">
        <v>112</v>
      </c>
      <c r="AN33" s="82" t="s">
        <v>674</v>
      </c>
      <c r="AO33" s="82">
        <v>96</v>
      </c>
      <c r="AP33" s="82">
        <v>50</v>
      </c>
      <c r="AQ33" s="82">
        <v>80</v>
      </c>
      <c r="AV33" s="31">
        <v>220</v>
      </c>
      <c r="AW33" s="31" t="s">
        <v>646</v>
      </c>
      <c r="AX33" s="31" t="s">
        <v>647</v>
      </c>
      <c r="CE33" t="s">
        <v>673</v>
      </c>
      <c r="CF33">
        <v>124</v>
      </c>
      <c r="CG33">
        <v>87</v>
      </c>
      <c r="CH33">
        <v>112</v>
      </c>
      <c r="CI33" t="s">
        <v>674</v>
      </c>
      <c r="CJ33">
        <v>96</v>
      </c>
      <c r="CK33">
        <v>50</v>
      </c>
      <c r="CL33">
        <v>80</v>
      </c>
    </row>
    <row r="34" spans="1:90" ht="15" thickBot="1" x14ac:dyDescent="0.35">
      <c r="A34" s="89">
        <v>240</v>
      </c>
      <c r="B34" s="82" t="s">
        <v>648</v>
      </c>
      <c r="C34" s="82" t="s">
        <v>649</v>
      </c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 t="s">
        <v>675</v>
      </c>
      <c r="AK34" s="82">
        <v>155</v>
      </c>
      <c r="AL34" s="82">
        <v>107</v>
      </c>
      <c r="AM34" s="82">
        <v>132</v>
      </c>
      <c r="AN34" s="82" t="s">
        <v>676</v>
      </c>
      <c r="AO34" s="82">
        <v>116</v>
      </c>
      <c r="AP34" s="82">
        <v>70</v>
      </c>
      <c r="AQ34" s="82">
        <v>100</v>
      </c>
      <c r="AV34" s="31">
        <v>240</v>
      </c>
      <c r="AW34" s="31" t="s">
        <v>648</v>
      </c>
      <c r="AX34" s="31" t="s">
        <v>649</v>
      </c>
      <c r="CE34" t="s">
        <v>675</v>
      </c>
      <c r="CF34">
        <v>155</v>
      </c>
      <c r="CG34">
        <v>107</v>
      </c>
      <c r="CH34">
        <v>132</v>
      </c>
      <c r="CI34" t="s">
        <v>676</v>
      </c>
      <c r="CJ34">
        <v>116</v>
      </c>
      <c r="CK34">
        <v>70</v>
      </c>
      <c r="CL34">
        <v>100</v>
      </c>
    </row>
    <row r="35" spans="1:90" ht="15" thickBot="1" x14ac:dyDescent="0.35">
      <c r="A35" s="89">
        <v>260</v>
      </c>
      <c r="B35" s="82" t="s">
        <v>650</v>
      </c>
      <c r="C35" s="82" t="s">
        <v>651</v>
      </c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 t="s">
        <v>677</v>
      </c>
      <c r="AK35" s="82">
        <v>164</v>
      </c>
      <c r="AL35" s="82">
        <v>127</v>
      </c>
      <c r="AM35" s="82">
        <v>152</v>
      </c>
      <c r="AN35" s="82" t="s">
        <v>678</v>
      </c>
      <c r="AO35" s="82">
        <v>136</v>
      </c>
      <c r="AP35" s="82">
        <v>90</v>
      </c>
      <c r="AQ35" s="82">
        <v>120</v>
      </c>
      <c r="AV35" s="31">
        <v>260</v>
      </c>
      <c r="AW35" s="31" t="s">
        <v>650</v>
      </c>
      <c r="AX35" s="31" t="s">
        <v>651</v>
      </c>
      <c r="CE35" t="s">
        <v>677</v>
      </c>
      <c r="CF35">
        <v>164</v>
      </c>
      <c r="CG35">
        <v>127</v>
      </c>
      <c r="CH35">
        <v>152</v>
      </c>
      <c r="CI35" t="s">
        <v>678</v>
      </c>
      <c r="CJ35">
        <v>136</v>
      </c>
      <c r="CK35">
        <v>90</v>
      </c>
      <c r="CL35">
        <v>120</v>
      </c>
    </row>
    <row r="36" spans="1:90" ht="15" thickBot="1" x14ac:dyDescent="0.35">
      <c r="A36" s="89">
        <v>280</v>
      </c>
      <c r="B36" s="82" t="s">
        <v>652</v>
      </c>
      <c r="C36" s="82" t="s">
        <v>653</v>
      </c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 t="s">
        <v>679</v>
      </c>
      <c r="AK36" s="82">
        <v>184</v>
      </c>
      <c r="AL36" s="82">
        <v>147</v>
      </c>
      <c r="AM36" s="82">
        <v>172</v>
      </c>
      <c r="AN36" s="82" t="s">
        <v>680</v>
      </c>
      <c r="AO36" s="82">
        <v>156</v>
      </c>
      <c r="AP36" s="82">
        <v>110</v>
      </c>
      <c r="AQ36" s="82">
        <v>140</v>
      </c>
      <c r="AV36" s="31">
        <v>280</v>
      </c>
      <c r="AW36" s="31" t="s">
        <v>652</v>
      </c>
      <c r="AX36" s="31" t="s">
        <v>653</v>
      </c>
      <c r="CE36" t="s">
        <v>679</v>
      </c>
      <c r="CF36">
        <v>184</v>
      </c>
      <c r="CG36">
        <v>147</v>
      </c>
      <c r="CH36">
        <v>172</v>
      </c>
      <c r="CI36" t="s">
        <v>680</v>
      </c>
      <c r="CJ36">
        <v>156</v>
      </c>
      <c r="CK36">
        <v>110</v>
      </c>
      <c r="CL36">
        <v>140</v>
      </c>
    </row>
    <row r="37" spans="1:90" x14ac:dyDescent="0.3">
      <c r="A37" s="94">
        <v>300</v>
      </c>
      <c r="B37" s="95" t="s">
        <v>654</v>
      </c>
      <c r="C37" s="95" t="s">
        <v>655</v>
      </c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 t="s">
        <v>681</v>
      </c>
      <c r="AK37" s="96">
        <v>204</v>
      </c>
      <c r="AL37" s="96">
        <v>167</v>
      </c>
      <c r="AM37" s="96">
        <v>192</v>
      </c>
      <c r="AN37" s="96" t="s">
        <v>682</v>
      </c>
      <c r="AO37" s="96">
        <v>176</v>
      </c>
      <c r="AP37" s="96">
        <v>130</v>
      </c>
      <c r="AQ37" s="96">
        <v>160</v>
      </c>
      <c r="AV37" s="31">
        <v>300</v>
      </c>
      <c r="AW37" s="31" t="s">
        <v>654</v>
      </c>
      <c r="AX37" s="31" t="s">
        <v>655</v>
      </c>
      <c r="CE37" t="s">
        <v>681</v>
      </c>
      <c r="CF37">
        <v>204</v>
      </c>
      <c r="CG37">
        <v>167</v>
      </c>
      <c r="CH37">
        <v>192</v>
      </c>
      <c r="CI37" t="s">
        <v>682</v>
      </c>
      <c r="CJ37">
        <v>176</v>
      </c>
      <c r="CK37">
        <v>130</v>
      </c>
      <c r="CL37">
        <v>160</v>
      </c>
    </row>
    <row r="42" spans="1:90" x14ac:dyDescent="0.3">
      <c r="AV42" t="s">
        <v>683</v>
      </c>
      <c r="AW42" t="s">
        <v>200</v>
      </c>
      <c r="AX42">
        <v>3</v>
      </c>
      <c r="AY42">
        <v>4</v>
      </c>
      <c r="AZ42">
        <v>5</v>
      </c>
      <c r="BA42">
        <v>6</v>
      </c>
      <c r="BB42">
        <v>8</v>
      </c>
      <c r="BC42">
        <v>10</v>
      </c>
      <c r="BD42">
        <v>12</v>
      </c>
      <c r="BE42">
        <v>16</v>
      </c>
      <c r="BF42">
        <v>20</v>
      </c>
      <c r="BG42">
        <v>25</v>
      </c>
      <c r="BH42">
        <v>30</v>
      </c>
      <c r="BI42">
        <v>35</v>
      </c>
      <c r="BJ42">
        <v>40</v>
      </c>
      <c r="BK42">
        <v>45</v>
      </c>
      <c r="BL42">
        <v>50</v>
      </c>
      <c r="BM42">
        <v>55</v>
      </c>
      <c r="BN42">
        <v>60</v>
      </c>
      <c r="BO42">
        <v>65</v>
      </c>
      <c r="BP42">
        <v>70</v>
      </c>
      <c r="BQ42">
        <v>80</v>
      </c>
      <c r="BR42">
        <v>90</v>
      </c>
      <c r="BS42">
        <v>100</v>
      </c>
      <c r="BT42">
        <v>110</v>
      </c>
      <c r="BU42">
        <v>120</v>
      </c>
      <c r="BV42">
        <v>130</v>
      </c>
      <c r="BW42">
        <v>140</v>
      </c>
      <c r="BX42">
        <v>150</v>
      </c>
      <c r="BY42">
        <v>160</v>
      </c>
      <c r="BZ42">
        <v>180</v>
      </c>
      <c r="CA42">
        <v>200</v>
      </c>
      <c r="CB42">
        <v>220</v>
      </c>
      <c r="CC42">
        <v>240</v>
      </c>
      <c r="CD42">
        <v>260</v>
      </c>
      <c r="CE42">
        <v>280</v>
      </c>
      <c r="CF42">
        <v>300</v>
      </c>
    </row>
    <row r="43" spans="1:90" x14ac:dyDescent="0.3">
      <c r="AV43" t="s">
        <v>684</v>
      </c>
      <c r="AW43" t="s">
        <v>533</v>
      </c>
      <c r="AX43" t="s">
        <v>560</v>
      </c>
      <c r="AY43" t="s">
        <v>562</v>
      </c>
      <c r="AZ43" t="s">
        <v>564</v>
      </c>
      <c r="BA43" t="s">
        <v>566</v>
      </c>
      <c r="BB43" t="s">
        <v>568</v>
      </c>
      <c r="BC43" t="s">
        <v>570</v>
      </c>
      <c r="BD43" t="s">
        <v>572</v>
      </c>
      <c r="BE43" t="s">
        <v>574</v>
      </c>
      <c r="BF43" t="s">
        <v>576</v>
      </c>
      <c r="BG43" t="s">
        <v>578</v>
      </c>
      <c r="BH43" t="s">
        <v>581</v>
      </c>
      <c r="BI43" t="s">
        <v>585</v>
      </c>
      <c r="BJ43" t="s">
        <v>588</v>
      </c>
      <c r="BK43" t="s">
        <v>591</v>
      </c>
      <c r="BL43" t="s">
        <v>594</v>
      </c>
      <c r="BM43" t="s">
        <v>598</v>
      </c>
      <c r="BN43" t="s">
        <v>602</v>
      </c>
      <c r="BO43" t="s">
        <v>607</v>
      </c>
      <c r="BP43" t="s">
        <v>612</v>
      </c>
      <c r="BQ43" t="s">
        <v>617</v>
      </c>
      <c r="BR43" t="s">
        <v>621</v>
      </c>
      <c r="BS43" t="s">
        <v>624</v>
      </c>
      <c r="BT43" t="s">
        <v>628</v>
      </c>
      <c r="BU43" t="s">
        <v>631</v>
      </c>
      <c r="BV43" t="s">
        <v>634</v>
      </c>
      <c r="BW43" t="s">
        <v>636</v>
      </c>
      <c r="BX43" t="s">
        <v>638</v>
      </c>
      <c r="BY43" t="s">
        <v>640</v>
      </c>
      <c r="BZ43" t="s">
        <v>642</v>
      </c>
      <c r="CA43" t="s">
        <v>644</v>
      </c>
      <c r="CB43" t="s">
        <v>646</v>
      </c>
      <c r="CC43" t="s">
        <v>648</v>
      </c>
      <c r="CD43" t="s">
        <v>650</v>
      </c>
      <c r="CE43" t="s">
        <v>652</v>
      </c>
      <c r="CF43" t="s">
        <v>654</v>
      </c>
    </row>
    <row r="44" spans="1:90" x14ac:dyDescent="0.3">
      <c r="AV44" t="s">
        <v>685</v>
      </c>
      <c r="AW44" t="s">
        <v>559</v>
      </c>
      <c r="AX44" t="s">
        <v>561</v>
      </c>
      <c r="AY44" t="s">
        <v>563</v>
      </c>
      <c r="AZ44" t="s">
        <v>565</v>
      </c>
      <c r="BA44" t="s">
        <v>567</v>
      </c>
      <c r="BB44" t="s">
        <v>569</v>
      </c>
      <c r="BC44" t="s">
        <v>571</v>
      </c>
      <c r="BD44" t="s">
        <v>573</v>
      </c>
      <c r="BE44" t="s">
        <v>575</v>
      </c>
      <c r="BF44" t="s">
        <v>577</v>
      </c>
      <c r="BG44" t="s">
        <v>579</v>
      </c>
      <c r="BH44" t="s">
        <v>582</v>
      </c>
      <c r="BI44" t="s">
        <v>586</v>
      </c>
      <c r="BJ44" t="s">
        <v>589</v>
      </c>
      <c r="BK44" t="s">
        <v>592</v>
      </c>
      <c r="BL44" t="s">
        <v>595</v>
      </c>
      <c r="BM44" t="s">
        <v>599</v>
      </c>
      <c r="BN44" t="s">
        <v>603</v>
      </c>
      <c r="BO44" t="s">
        <v>608</v>
      </c>
      <c r="BP44" t="s">
        <v>613</v>
      </c>
      <c r="BQ44" t="s">
        <v>618</v>
      </c>
      <c r="BR44" t="s">
        <v>622</v>
      </c>
      <c r="BS44" t="s">
        <v>625</v>
      </c>
      <c r="BT44" t="s">
        <v>629</v>
      </c>
      <c r="BU44" t="s">
        <v>632</v>
      </c>
      <c r="BV44" t="s">
        <v>635</v>
      </c>
      <c r="BW44" t="s">
        <v>637</v>
      </c>
      <c r="BX44" t="s">
        <v>639</v>
      </c>
      <c r="BY44" t="s">
        <v>641</v>
      </c>
      <c r="BZ44" t="s">
        <v>643</v>
      </c>
      <c r="CA44" t="s">
        <v>645</v>
      </c>
      <c r="CB44" t="s">
        <v>647</v>
      </c>
      <c r="CC44" t="s">
        <v>649</v>
      </c>
      <c r="CD44" t="s">
        <v>651</v>
      </c>
      <c r="CE44" t="s">
        <v>653</v>
      </c>
      <c r="CF44" t="s">
        <v>655</v>
      </c>
    </row>
    <row r="45" spans="1:90" x14ac:dyDescent="0.3">
      <c r="AV45" t="s">
        <v>687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1:90" x14ac:dyDescent="0.3">
      <c r="AV46" t="s">
        <v>688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90" x14ac:dyDescent="0.3">
      <c r="AV47" t="s">
        <v>686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2</v>
      </c>
    </row>
    <row r="48" spans="1:90" x14ac:dyDescent="0.3">
      <c r="AV48" t="s">
        <v>689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4</v>
      </c>
    </row>
    <row r="49" spans="48:73" x14ac:dyDescent="0.3">
      <c r="AV49" t="s">
        <v>690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 t="s">
        <v>580</v>
      </c>
    </row>
    <row r="50" spans="48:73" x14ac:dyDescent="0.3">
      <c r="AV50" t="s">
        <v>691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8</v>
      </c>
    </row>
    <row r="51" spans="48:73" x14ac:dyDescent="0.3">
      <c r="AV51" t="s">
        <v>692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 t="s">
        <v>214</v>
      </c>
      <c r="BH51" t="s">
        <v>583</v>
      </c>
    </row>
    <row r="52" spans="48:73" x14ac:dyDescent="0.3">
      <c r="AV52" t="s">
        <v>693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7</v>
      </c>
      <c r="BH52">
        <v>12</v>
      </c>
    </row>
    <row r="53" spans="48:73" x14ac:dyDescent="0.3">
      <c r="AV53" t="s">
        <v>694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584</v>
      </c>
      <c r="BI53" t="s">
        <v>587</v>
      </c>
      <c r="BJ53" t="s">
        <v>590</v>
      </c>
    </row>
    <row r="54" spans="48:73" x14ac:dyDescent="0.3">
      <c r="AV54" t="s">
        <v>695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10</v>
      </c>
      <c r="BI54">
        <v>15</v>
      </c>
      <c r="BJ54">
        <v>20</v>
      </c>
    </row>
    <row r="55" spans="48:73" x14ac:dyDescent="0.3">
      <c r="AV55" t="s">
        <v>696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4</v>
      </c>
      <c r="BI55">
        <v>9</v>
      </c>
      <c r="BJ55">
        <v>14</v>
      </c>
      <c r="BK55">
        <v>19</v>
      </c>
      <c r="BL55">
        <v>24</v>
      </c>
    </row>
    <row r="56" spans="48:73" x14ac:dyDescent="0.3">
      <c r="AV56" t="s">
        <v>697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8</v>
      </c>
      <c r="BI56">
        <v>13</v>
      </c>
      <c r="BJ56">
        <v>18</v>
      </c>
      <c r="BK56">
        <v>23</v>
      </c>
      <c r="BL56">
        <v>28</v>
      </c>
    </row>
    <row r="57" spans="48:73" x14ac:dyDescent="0.3">
      <c r="AV57" t="s">
        <v>698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6</v>
      </c>
      <c r="BJ57">
        <v>11</v>
      </c>
      <c r="BK57">
        <v>16</v>
      </c>
      <c r="BL57">
        <v>21</v>
      </c>
      <c r="BM57">
        <v>26</v>
      </c>
      <c r="BN57">
        <v>31</v>
      </c>
    </row>
    <row r="58" spans="48:73" x14ac:dyDescent="0.3">
      <c r="AV58" t="s">
        <v>699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11</v>
      </c>
      <c r="BJ58">
        <v>16</v>
      </c>
      <c r="BK58">
        <v>21</v>
      </c>
      <c r="BL58">
        <v>26</v>
      </c>
      <c r="BM58">
        <v>31</v>
      </c>
      <c r="BN58">
        <v>36</v>
      </c>
    </row>
    <row r="59" spans="48:73" x14ac:dyDescent="0.3">
      <c r="AV59" t="s">
        <v>700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580</v>
      </c>
      <c r="BK59" t="s">
        <v>593</v>
      </c>
      <c r="BL59" t="s">
        <v>596</v>
      </c>
      <c r="BM59" t="s">
        <v>600</v>
      </c>
      <c r="BN59" t="s">
        <v>604</v>
      </c>
      <c r="BO59" t="s">
        <v>609</v>
      </c>
      <c r="BP59" t="s">
        <v>614</v>
      </c>
      <c r="BQ59" t="s">
        <v>619</v>
      </c>
    </row>
    <row r="60" spans="48:73" x14ac:dyDescent="0.3">
      <c r="AV60" t="s">
        <v>701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12</v>
      </c>
      <c r="BK60">
        <v>17</v>
      </c>
      <c r="BL60">
        <v>22</v>
      </c>
      <c r="BM60">
        <v>27</v>
      </c>
      <c r="BN60">
        <v>32</v>
      </c>
      <c r="BO60">
        <v>37</v>
      </c>
      <c r="BP60">
        <v>42</v>
      </c>
      <c r="BQ60">
        <v>52</v>
      </c>
    </row>
    <row r="61" spans="48:73" x14ac:dyDescent="0.3">
      <c r="AV61" t="s">
        <v>702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 t="s">
        <v>247</v>
      </c>
      <c r="BL61" t="s">
        <v>597</v>
      </c>
      <c r="BM61" t="s">
        <v>501</v>
      </c>
      <c r="BN61" t="s">
        <v>605</v>
      </c>
      <c r="BO61" t="s">
        <v>610</v>
      </c>
      <c r="BP61" t="s">
        <v>615</v>
      </c>
      <c r="BQ61" t="s">
        <v>589</v>
      </c>
      <c r="BR61" t="s">
        <v>595</v>
      </c>
      <c r="BS61" t="s">
        <v>626</v>
      </c>
    </row>
    <row r="62" spans="48:73" x14ac:dyDescent="0.3">
      <c r="AV62" t="s">
        <v>703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13</v>
      </c>
      <c r="BL62">
        <v>18</v>
      </c>
      <c r="BM62">
        <v>23</v>
      </c>
      <c r="BN62">
        <v>28</v>
      </c>
      <c r="BO62">
        <v>33</v>
      </c>
      <c r="BP62">
        <v>38</v>
      </c>
      <c r="BQ62">
        <v>48</v>
      </c>
      <c r="BR62">
        <v>58</v>
      </c>
      <c r="BS62">
        <v>68</v>
      </c>
    </row>
    <row r="63" spans="48:73" x14ac:dyDescent="0.3">
      <c r="AV63" t="s">
        <v>704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 t="s">
        <v>601</v>
      </c>
      <c r="BN63" t="s">
        <v>606</v>
      </c>
      <c r="BO63" t="s">
        <v>611</v>
      </c>
      <c r="BP63" t="s">
        <v>616</v>
      </c>
      <c r="BQ63" t="s">
        <v>620</v>
      </c>
      <c r="BR63" t="s">
        <v>623</v>
      </c>
      <c r="BS63" t="s">
        <v>627</v>
      </c>
      <c r="BT63" t="s">
        <v>630</v>
      </c>
      <c r="BU63" t="s">
        <v>633</v>
      </c>
    </row>
    <row r="64" spans="48:73" x14ac:dyDescent="0.3">
      <c r="AV64" t="s">
        <v>705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19</v>
      </c>
      <c r="BN64">
        <v>24</v>
      </c>
      <c r="BO64">
        <v>29</v>
      </c>
      <c r="BP64">
        <v>34</v>
      </c>
      <c r="BQ64">
        <v>44</v>
      </c>
      <c r="BR64">
        <v>54</v>
      </c>
      <c r="BS64">
        <v>64</v>
      </c>
      <c r="BT64">
        <v>74</v>
      </c>
      <c r="BU64">
        <v>84</v>
      </c>
    </row>
    <row r="65" spans="48:84" x14ac:dyDescent="0.3">
      <c r="AV65" t="s">
        <v>706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10</v>
      </c>
      <c r="BO65">
        <v>15</v>
      </c>
      <c r="BP65">
        <v>20</v>
      </c>
      <c r="BQ65">
        <v>30</v>
      </c>
      <c r="BR65">
        <v>40</v>
      </c>
      <c r="BS65">
        <v>50</v>
      </c>
      <c r="BT65">
        <v>60</v>
      </c>
      <c r="BU65">
        <v>70</v>
      </c>
      <c r="BV65">
        <v>80</v>
      </c>
      <c r="BW65">
        <v>90</v>
      </c>
    </row>
    <row r="66" spans="48:84" x14ac:dyDescent="0.3">
      <c r="AV66" t="s">
        <v>707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20</v>
      </c>
      <c r="BO66">
        <v>25</v>
      </c>
      <c r="BP66">
        <v>30</v>
      </c>
      <c r="BQ66">
        <v>40</v>
      </c>
      <c r="BR66">
        <v>50</v>
      </c>
      <c r="BS66">
        <v>60</v>
      </c>
      <c r="BT66">
        <v>70</v>
      </c>
      <c r="BU66">
        <v>80</v>
      </c>
      <c r="BV66">
        <v>90</v>
      </c>
      <c r="BW66">
        <v>100</v>
      </c>
    </row>
    <row r="67" spans="48:84" x14ac:dyDescent="0.3">
      <c r="AV67" t="s">
        <v>708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11</v>
      </c>
      <c r="BP67">
        <v>16</v>
      </c>
      <c r="BQ67">
        <v>26</v>
      </c>
      <c r="BR67">
        <v>36</v>
      </c>
      <c r="BS67">
        <v>46</v>
      </c>
      <c r="BT67">
        <v>56</v>
      </c>
      <c r="BU67">
        <v>66</v>
      </c>
      <c r="BV67">
        <v>76</v>
      </c>
      <c r="BW67">
        <v>86</v>
      </c>
      <c r="BX67">
        <v>96</v>
      </c>
      <c r="BY67">
        <v>106</v>
      </c>
    </row>
    <row r="68" spans="48:84" x14ac:dyDescent="0.3">
      <c r="AV68" t="s">
        <v>709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21</v>
      </c>
      <c r="BP68">
        <v>26</v>
      </c>
      <c r="BQ68">
        <v>36</v>
      </c>
      <c r="BR68">
        <v>46</v>
      </c>
      <c r="BS68">
        <v>56</v>
      </c>
      <c r="BT68">
        <v>66</v>
      </c>
      <c r="BU68">
        <v>76</v>
      </c>
      <c r="BV68">
        <v>86</v>
      </c>
      <c r="BW68">
        <v>96</v>
      </c>
      <c r="BX68">
        <v>106</v>
      </c>
      <c r="BY68">
        <v>116</v>
      </c>
    </row>
    <row r="69" spans="48:84" x14ac:dyDescent="0.3">
      <c r="AV69" t="s">
        <v>710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 t="s">
        <v>501</v>
      </c>
      <c r="BR69" t="s">
        <v>610</v>
      </c>
      <c r="BS69" t="s">
        <v>586</v>
      </c>
      <c r="BT69" t="s">
        <v>592</v>
      </c>
      <c r="BU69" t="s">
        <v>656</v>
      </c>
      <c r="BV69" t="s">
        <v>657</v>
      </c>
      <c r="BW69" t="s">
        <v>658</v>
      </c>
      <c r="BX69" t="s">
        <v>660</v>
      </c>
      <c r="BY69" t="s">
        <v>662</v>
      </c>
      <c r="BZ69" t="s">
        <v>665</v>
      </c>
      <c r="CA69" t="s">
        <v>669</v>
      </c>
    </row>
    <row r="70" spans="48:84" x14ac:dyDescent="0.3">
      <c r="AV70" t="s">
        <v>711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28</v>
      </c>
      <c r="BR70">
        <v>38</v>
      </c>
      <c r="BS70">
        <v>48</v>
      </c>
      <c r="BT70">
        <v>58</v>
      </c>
      <c r="BU70">
        <v>68</v>
      </c>
      <c r="BV70">
        <v>78</v>
      </c>
      <c r="BW70">
        <v>88</v>
      </c>
      <c r="BX70">
        <v>98</v>
      </c>
      <c r="BY70">
        <v>108</v>
      </c>
      <c r="BZ70">
        <v>128</v>
      </c>
      <c r="CA70">
        <v>148</v>
      </c>
    </row>
    <row r="71" spans="48:84" x14ac:dyDescent="0.3">
      <c r="AV71" t="s">
        <v>712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15</v>
      </c>
      <c r="BS71">
        <v>25</v>
      </c>
      <c r="BT71">
        <v>35</v>
      </c>
      <c r="BU71">
        <v>45</v>
      </c>
      <c r="BV71">
        <v>55</v>
      </c>
      <c r="BW71">
        <v>65</v>
      </c>
      <c r="BX71">
        <v>75</v>
      </c>
      <c r="BY71">
        <v>85</v>
      </c>
      <c r="BZ71">
        <v>105</v>
      </c>
      <c r="CA71">
        <v>125</v>
      </c>
    </row>
    <row r="72" spans="48:84" x14ac:dyDescent="0.3">
      <c r="AV72" t="s">
        <v>713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30</v>
      </c>
      <c r="BS72">
        <v>40</v>
      </c>
      <c r="BT72">
        <v>50</v>
      </c>
      <c r="BU72">
        <v>60</v>
      </c>
      <c r="BV72">
        <v>70</v>
      </c>
      <c r="BW72">
        <v>80</v>
      </c>
      <c r="BX72">
        <v>90</v>
      </c>
      <c r="BY72">
        <v>100</v>
      </c>
      <c r="BZ72">
        <v>120</v>
      </c>
      <c r="CA72">
        <v>140</v>
      </c>
    </row>
    <row r="73" spans="48:84" x14ac:dyDescent="0.3">
      <c r="AV73" t="s">
        <v>714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 t="s">
        <v>605</v>
      </c>
      <c r="BU73" t="s">
        <v>615</v>
      </c>
      <c r="BV73" t="s">
        <v>589</v>
      </c>
      <c r="BW73" t="s">
        <v>595</v>
      </c>
      <c r="BX73" t="s">
        <v>626</v>
      </c>
      <c r="BY73" t="s">
        <v>663</v>
      </c>
      <c r="BZ73" t="s">
        <v>666</v>
      </c>
      <c r="CA73" t="s">
        <v>670</v>
      </c>
    </row>
    <row r="74" spans="48:84" x14ac:dyDescent="0.3">
      <c r="AV74" t="s">
        <v>715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38</v>
      </c>
      <c r="BU74">
        <v>48</v>
      </c>
      <c r="BV74">
        <v>58</v>
      </c>
      <c r="BW74">
        <v>68</v>
      </c>
      <c r="BX74">
        <v>78</v>
      </c>
      <c r="BY74">
        <v>88</v>
      </c>
      <c r="BZ74">
        <v>108</v>
      </c>
      <c r="CA74">
        <v>128</v>
      </c>
    </row>
    <row r="75" spans="48:84" x14ac:dyDescent="0.3">
      <c r="AV75" t="s">
        <v>716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16</v>
      </c>
      <c r="BV75">
        <v>26</v>
      </c>
      <c r="BW75">
        <v>36</v>
      </c>
      <c r="BX75">
        <v>46</v>
      </c>
      <c r="BY75">
        <v>56</v>
      </c>
      <c r="BZ75">
        <v>76</v>
      </c>
      <c r="CA75">
        <v>96</v>
      </c>
    </row>
    <row r="76" spans="48:84" x14ac:dyDescent="0.3">
      <c r="AV76" t="s">
        <v>717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36</v>
      </c>
      <c r="BV76">
        <v>46</v>
      </c>
      <c r="BW76">
        <v>56</v>
      </c>
      <c r="BX76">
        <v>66</v>
      </c>
      <c r="BY76">
        <v>76</v>
      </c>
      <c r="BZ76">
        <v>96</v>
      </c>
      <c r="CA76">
        <v>116</v>
      </c>
    </row>
    <row r="77" spans="48:84" x14ac:dyDescent="0.3">
      <c r="AV77" t="s">
        <v>718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 t="s">
        <v>659</v>
      </c>
      <c r="BX77" t="s">
        <v>661</v>
      </c>
      <c r="BY77" t="s">
        <v>664</v>
      </c>
      <c r="BZ77" t="s">
        <v>667</v>
      </c>
      <c r="CA77" t="s">
        <v>671</v>
      </c>
      <c r="CB77" t="s">
        <v>673</v>
      </c>
      <c r="CC77" t="s">
        <v>675</v>
      </c>
      <c r="CD77" t="s">
        <v>677</v>
      </c>
      <c r="CE77" t="s">
        <v>679</v>
      </c>
      <c r="CF77" t="s">
        <v>681</v>
      </c>
    </row>
    <row r="78" spans="48:84" x14ac:dyDescent="0.3">
      <c r="AV78" t="s">
        <v>719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44</v>
      </c>
      <c r="BX78">
        <v>54</v>
      </c>
      <c r="BY78">
        <v>64</v>
      </c>
      <c r="BZ78">
        <v>84</v>
      </c>
      <c r="CA78">
        <v>104</v>
      </c>
      <c r="CB78">
        <v>124</v>
      </c>
      <c r="CC78">
        <v>155</v>
      </c>
      <c r="CD78">
        <v>164</v>
      </c>
      <c r="CE78">
        <v>184</v>
      </c>
      <c r="CF78">
        <v>204</v>
      </c>
    </row>
    <row r="79" spans="48:84" x14ac:dyDescent="0.3">
      <c r="AV79" t="s">
        <v>720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27</v>
      </c>
      <c r="BZ79">
        <v>47</v>
      </c>
      <c r="CA79">
        <v>67</v>
      </c>
      <c r="CB79">
        <v>87</v>
      </c>
      <c r="CC79">
        <v>107</v>
      </c>
      <c r="CD79">
        <v>127</v>
      </c>
      <c r="CE79">
        <v>147</v>
      </c>
      <c r="CF79">
        <v>167</v>
      </c>
    </row>
    <row r="80" spans="48:84" x14ac:dyDescent="0.3">
      <c r="AV80" t="s">
        <v>721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52</v>
      </c>
      <c r="BZ80">
        <v>72</v>
      </c>
      <c r="CA80">
        <v>92</v>
      </c>
      <c r="CB80">
        <v>112</v>
      </c>
      <c r="CC80">
        <v>132</v>
      </c>
      <c r="CD80">
        <v>152</v>
      </c>
      <c r="CE80">
        <v>172</v>
      </c>
      <c r="CF80">
        <v>192</v>
      </c>
    </row>
    <row r="81" spans="48:84" x14ac:dyDescent="0.3">
      <c r="AV81" t="s">
        <v>722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 t="s">
        <v>668</v>
      </c>
      <c r="CA81" t="s">
        <v>672</v>
      </c>
      <c r="CB81" t="s">
        <v>674</v>
      </c>
      <c r="CC81" t="s">
        <v>676</v>
      </c>
      <c r="CD81" t="s">
        <v>678</v>
      </c>
      <c r="CE81" t="s">
        <v>680</v>
      </c>
      <c r="CF81" t="s">
        <v>682</v>
      </c>
    </row>
    <row r="82" spans="48:84" x14ac:dyDescent="0.3">
      <c r="AV82" t="s">
        <v>723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56</v>
      </c>
      <c r="CA82">
        <v>76</v>
      </c>
      <c r="CB82">
        <v>96</v>
      </c>
      <c r="CC82">
        <v>116</v>
      </c>
      <c r="CD82">
        <v>136</v>
      </c>
      <c r="CE82">
        <v>156</v>
      </c>
      <c r="CF82">
        <v>176</v>
      </c>
    </row>
    <row r="83" spans="48:84" x14ac:dyDescent="0.3">
      <c r="AV83" t="s">
        <v>724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30</v>
      </c>
      <c r="CB83">
        <v>50</v>
      </c>
      <c r="CC83">
        <v>70</v>
      </c>
      <c r="CD83">
        <v>90</v>
      </c>
      <c r="CE83">
        <v>110</v>
      </c>
      <c r="CF83">
        <v>130</v>
      </c>
    </row>
    <row r="84" spans="48:84" x14ac:dyDescent="0.3">
      <c r="AV84" t="s">
        <v>725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60</v>
      </c>
      <c r="CB84">
        <v>80</v>
      </c>
      <c r="CC84">
        <v>100</v>
      </c>
      <c r="CD84">
        <v>120</v>
      </c>
      <c r="CE84">
        <v>140</v>
      </c>
      <c r="CF84">
        <v>160</v>
      </c>
    </row>
  </sheetData>
  <phoneticPr fontId="8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976A1-00B7-47C5-A887-C0C278E08FFC}">
  <dimension ref="A1:D25"/>
  <sheetViews>
    <sheetView zoomScale="85" zoomScaleNormal="85" workbookViewId="0">
      <selection sqref="A1:D25"/>
    </sheetView>
  </sheetViews>
  <sheetFormatPr baseColWidth="10" defaultRowHeight="14.4" x14ac:dyDescent="0.3"/>
  <cols>
    <col min="1" max="1" width="15.88671875" customWidth="1"/>
    <col min="2" max="2" width="12.6640625" customWidth="1"/>
    <col min="4" max="4" width="11.33203125" customWidth="1"/>
  </cols>
  <sheetData>
    <row r="1" spans="1:4" x14ac:dyDescent="0.3">
      <c r="A1" t="s">
        <v>726</v>
      </c>
      <c r="B1" t="s">
        <v>727</v>
      </c>
      <c r="C1" t="s">
        <v>728</v>
      </c>
      <c r="D1" t="s">
        <v>729</v>
      </c>
    </row>
    <row r="2" spans="1:4" x14ac:dyDescent="0.3">
      <c r="A2" s="31">
        <v>0.2</v>
      </c>
      <c r="B2" s="31">
        <v>1.3</v>
      </c>
      <c r="C2" s="31">
        <v>0.8</v>
      </c>
      <c r="D2" s="31">
        <v>2</v>
      </c>
    </row>
    <row r="3" spans="1:4" x14ac:dyDescent="0.3">
      <c r="A3" s="31">
        <v>0.25</v>
      </c>
      <c r="B3" s="31">
        <v>1.5</v>
      </c>
      <c r="C3" s="31">
        <v>1</v>
      </c>
      <c r="D3" s="31">
        <v>2.4</v>
      </c>
    </row>
    <row r="4" spans="1:4" x14ac:dyDescent="0.3">
      <c r="A4" s="31">
        <v>0.3</v>
      </c>
      <c r="B4" s="31">
        <v>1.8</v>
      </c>
      <c r="C4" s="31">
        <v>12</v>
      </c>
      <c r="D4" s="31">
        <v>2.9</v>
      </c>
    </row>
    <row r="5" spans="1:4" x14ac:dyDescent="0.3">
      <c r="A5" s="31">
        <v>0.35</v>
      </c>
      <c r="B5" s="31">
        <v>2.1</v>
      </c>
      <c r="C5" s="31">
        <v>1.3</v>
      </c>
      <c r="D5" s="31">
        <v>3.3</v>
      </c>
    </row>
    <row r="6" spans="1:4" x14ac:dyDescent="0.3">
      <c r="A6" s="31">
        <v>0.4</v>
      </c>
      <c r="B6" s="31">
        <v>2.2999999999999998</v>
      </c>
      <c r="C6" s="31">
        <v>1.5</v>
      </c>
      <c r="D6" s="31">
        <v>3.7</v>
      </c>
    </row>
    <row r="7" spans="1:4" x14ac:dyDescent="0.3">
      <c r="A7" s="31">
        <v>0.45</v>
      </c>
      <c r="B7" s="31">
        <v>2.6</v>
      </c>
      <c r="C7" s="31">
        <v>1.6</v>
      </c>
      <c r="D7" s="31">
        <v>4.0999999999999996</v>
      </c>
    </row>
    <row r="8" spans="1:4" x14ac:dyDescent="0.3">
      <c r="A8" s="31">
        <v>0.5</v>
      </c>
      <c r="B8" s="31">
        <v>2.8</v>
      </c>
      <c r="C8" s="31">
        <v>1.8</v>
      </c>
      <c r="D8" s="31">
        <v>4.5</v>
      </c>
    </row>
    <row r="9" spans="1:4" x14ac:dyDescent="0.3">
      <c r="A9" s="31">
        <v>0.6</v>
      </c>
      <c r="B9" s="31">
        <v>3.4</v>
      </c>
      <c r="C9" s="31">
        <v>2.1</v>
      </c>
      <c r="D9" s="31">
        <v>5.4</v>
      </c>
    </row>
    <row r="10" spans="1:4" x14ac:dyDescent="0.3">
      <c r="A10" s="31">
        <v>0.7</v>
      </c>
      <c r="B10" s="31">
        <v>3.8</v>
      </c>
      <c r="C10" s="31">
        <v>2.4</v>
      </c>
      <c r="D10" s="31">
        <v>6.1</v>
      </c>
    </row>
    <row r="11" spans="1:4" x14ac:dyDescent="0.3">
      <c r="A11" s="31">
        <v>0.75</v>
      </c>
      <c r="B11" s="31">
        <v>4</v>
      </c>
      <c r="C11" s="31">
        <v>2.5</v>
      </c>
      <c r="D11" s="31">
        <v>6.4</v>
      </c>
    </row>
    <row r="12" spans="1:4" x14ac:dyDescent="0.3">
      <c r="A12" s="31">
        <v>0.8</v>
      </c>
      <c r="B12" s="31">
        <v>4.2</v>
      </c>
      <c r="C12" s="31">
        <v>2.7</v>
      </c>
      <c r="D12" s="31">
        <v>6.8</v>
      </c>
    </row>
    <row r="13" spans="1:4" x14ac:dyDescent="0.3">
      <c r="A13" s="31">
        <v>1</v>
      </c>
      <c r="B13" s="31">
        <v>5.0999999999999996</v>
      </c>
      <c r="C13" s="31">
        <v>3.2</v>
      </c>
      <c r="D13" s="31">
        <v>8.1999999999999993</v>
      </c>
    </row>
    <row r="14" spans="1:4" x14ac:dyDescent="0.3">
      <c r="A14" s="31">
        <v>1.25</v>
      </c>
      <c r="B14" s="31">
        <v>6.2</v>
      </c>
      <c r="C14" s="31">
        <v>3.9</v>
      </c>
      <c r="D14" s="31">
        <v>10</v>
      </c>
    </row>
    <row r="15" spans="1:4" x14ac:dyDescent="0.3">
      <c r="A15" s="31">
        <v>1.5</v>
      </c>
      <c r="B15" s="31">
        <v>7.3</v>
      </c>
      <c r="C15" s="31">
        <v>4.5999999999999996</v>
      </c>
      <c r="D15" s="31">
        <v>11.6</v>
      </c>
    </row>
    <row r="16" spans="1:4" x14ac:dyDescent="0.3">
      <c r="A16" s="31">
        <v>1.75</v>
      </c>
      <c r="B16" s="31">
        <v>8.3000000000000007</v>
      </c>
      <c r="C16" s="31">
        <v>5.2</v>
      </c>
      <c r="D16" s="31">
        <v>13.3</v>
      </c>
    </row>
    <row r="17" spans="1:4" x14ac:dyDescent="0.3">
      <c r="A17" s="31">
        <v>2</v>
      </c>
      <c r="B17" s="31">
        <v>9.3000000000000007</v>
      </c>
      <c r="C17" s="31">
        <v>5.8</v>
      </c>
      <c r="D17" s="31">
        <v>14.8</v>
      </c>
    </row>
    <row r="18" spans="1:4" x14ac:dyDescent="0.3">
      <c r="A18" s="31">
        <v>2.5</v>
      </c>
      <c r="B18" s="31">
        <v>11.2</v>
      </c>
      <c r="C18" s="31">
        <v>7</v>
      </c>
      <c r="D18" s="31">
        <v>17.899999999999999</v>
      </c>
    </row>
    <row r="19" spans="1:4" x14ac:dyDescent="0.3">
      <c r="A19" s="31">
        <v>3</v>
      </c>
      <c r="B19" s="31">
        <v>13.1</v>
      </c>
      <c r="C19" s="31">
        <v>82</v>
      </c>
      <c r="D19" s="31">
        <v>21</v>
      </c>
    </row>
    <row r="20" spans="1:4" x14ac:dyDescent="0.3">
      <c r="A20" s="31">
        <v>3.5</v>
      </c>
      <c r="B20" s="31">
        <v>15.2</v>
      </c>
      <c r="C20" s="31">
        <v>9.5</v>
      </c>
      <c r="D20" s="31">
        <v>24.3</v>
      </c>
    </row>
    <row r="21" spans="1:4" x14ac:dyDescent="0.3">
      <c r="A21" s="31">
        <v>4</v>
      </c>
      <c r="B21" s="31">
        <v>16.8</v>
      </c>
      <c r="C21" s="31">
        <v>10.5</v>
      </c>
      <c r="D21" s="31">
        <v>26.9</v>
      </c>
    </row>
    <row r="22" spans="1:4" x14ac:dyDescent="0.3">
      <c r="A22" s="31">
        <v>4.5</v>
      </c>
      <c r="B22" s="31">
        <v>18.399999999999999</v>
      </c>
      <c r="C22" s="31">
        <v>11.5</v>
      </c>
      <c r="D22" s="31">
        <v>29.4</v>
      </c>
    </row>
    <row r="23" spans="1:4" x14ac:dyDescent="0.3">
      <c r="A23" s="31">
        <v>5</v>
      </c>
      <c r="B23" s="31">
        <v>20.8</v>
      </c>
      <c r="C23" s="31">
        <v>13</v>
      </c>
      <c r="D23" s="31">
        <v>33.299999999999997</v>
      </c>
    </row>
    <row r="24" spans="1:4" x14ac:dyDescent="0.3">
      <c r="A24" s="31">
        <v>5.5</v>
      </c>
      <c r="B24" s="31">
        <v>22.4</v>
      </c>
      <c r="C24" s="31">
        <v>14</v>
      </c>
      <c r="D24" s="31">
        <v>35.799999999999997</v>
      </c>
    </row>
    <row r="25" spans="1:4" x14ac:dyDescent="0.3">
      <c r="A25" s="31">
        <v>6</v>
      </c>
      <c r="B25" s="31">
        <v>24</v>
      </c>
      <c r="C25" s="31">
        <v>15</v>
      </c>
      <c r="D25" s="31">
        <v>38.4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21BBE-BE87-435C-BFA2-5BF226921E93}">
  <dimension ref="A1:M38"/>
  <sheetViews>
    <sheetView topLeftCell="A16" workbookViewId="0">
      <selection activeCell="M18" sqref="E18:M38"/>
    </sheetView>
  </sheetViews>
  <sheetFormatPr baseColWidth="10" defaultRowHeight="14.4" x14ac:dyDescent="0.3"/>
  <sheetData>
    <row r="1" spans="1:1" x14ac:dyDescent="0.3">
      <c r="A1" t="s">
        <v>777</v>
      </c>
    </row>
    <row r="17" spans="5:13" ht="15" thickBot="1" x14ac:dyDescent="0.35"/>
    <row r="18" spans="5:13" ht="36.6" thickBot="1" x14ac:dyDescent="0.35">
      <c r="E18" s="118" t="s">
        <v>752</v>
      </c>
      <c r="F18" s="120" t="s">
        <v>754</v>
      </c>
      <c r="G18" s="121" t="s">
        <v>756</v>
      </c>
      <c r="H18" s="121" t="s">
        <v>757</v>
      </c>
      <c r="I18" s="121" t="s">
        <v>758</v>
      </c>
      <c r="J18" s="121" t="s">
        <v>764</v>
      </c>
      <c r="K18" s="121" t="s">
        <v>765</v>
      </c>
      <c r="L18" s="121" t="s">
        <v>770</v>
      </c>
      <c r="M18" s="121" t="s">
        <v>762</v>
      </c>
    </row>
    <row r="19" spans="5:13" ht="15" thickBot="1" x14ac:dyDescent="0.35">
      <c r="E19" s="119" t="s">
        <v>24</v>
      </c>
      <c r="F19" s="85">
        <v>0.35</v>
      </c>
      <c r="G19" s="111">
        <v>3</v>
      </c>
      <c r="H19" s="111">
        <v>3.14</v>
      </c>
      <c r="I19" s="111">
        <v>2.86</v>
      </c>
      <c r="J19" s="111">
        <v>1.6</v>
      </c>
      <c r="K19" s="111">
        <v>1.46</v>
      </c>
      <c r="L19" s="111">
        <v>0.7</v>
      </c>
      <c r="M19" s="111">
        <v>1.7330000000000001</v>
      </c>
    </row>
    <row r="20" spans="5:13" ht="15" thickBot="1" x14ac:dyDescent="0.35">
      <c r="E20" s="119" t="s">
        <v>26</v>
      </c>
      <c r="F20" s="85">
        <v>0.4</v>
      </c>
      <c r="G20" s="111">
        <v>3.8</v>
      </c>
      <c r="H20" s="111">
        <v>3.98</v>
      </c>
      <c r="I20" s="111">
        <v>3.62</v>
      </c>
      <c r="J20" s="111">
        <v>2</v>
      </c>
      <c r="K20" s="111">
        <v>1.86</v>
      </c>
      <c r="L20" s="111">
        <v>1</v>
      </c>
      <c r="M20" s="111">
        <v>1.7330000000000001</v>
      </c>
    </row>
    <row r="21" spans="5:13" ht="15" thickBot="1" x14ac:dyDescent="0.35">
      <c r="E21" s="119" t="s">
        <v>27</v>
      </c>
      <c r="F21" s="85">
        <v>0.45</v>
      </c>
      <c r="G21" s="111">
        <v>4.5</v>
      </c>
      <c r="H21" s="111">
        <v>4.68</v>
      </c>
      <c r="I21" s="111">
        <v>4.32</v>
      </c>
      <c r="J21" s="111">
        <v>2.5</v>
      </c>
      <c r="K21" s="111">
        <v>2.36</v>
      </c>
      <c r="L21" s="111">
        <v>1.1000000000000001</v>
      </c>
      <c r="M21" s="111">
        <v>2.3029999999999999</v>
      </c>
    </row>
    <row r="22" spans="5:13" ht="15" thickBot="1" x14ac:dyDescent="0.35">
      <c r="E22" s="119" t="s">
        <v>28</v>
      </c>
      <c r="F22" s="85">
        <v>0.5</v>
      </c>
      <c r="G22" s="111">
        <v>5.5</v>
      </c>
      <c r="H22" s="111">
        <v>5.68</v>
      </c>
      <c r="I22" s="111">
        <v>5.32</v>
      </c>
      <c r="J22" s="111">
        <v>3</v>
      </c>
      <c r="K22" s="111">
        <v>2.86</v>
      </c>
      <c r="L22" s="111">
        <v>1.3</v>
      </c>
      <c r="M22" s="111">
        <v>2.8730000000000002</v>
      </c>
    </row>
    <row r="23" spans="5:13" ht="15" thickBot="1" x14ac:dyDescent="0.35">
      <c r="E23" s="119" t="s">
        <v>30</v>
      </c>
      <c r="F23" s="85">
        <v>0.7</v>
      </c>
      <c r="G23" s="111">
        <v>7</v>
      </c>
      <c r="H23" s="111">
        <v>7.22</v>
      </c>
      <c r="I23" s="111">
        <v>6.78</v>
      </c>
      <c r="J23" s="111">
        <v>4</v>
      </c>
      <c r="K23" s="111">
        <v>3.82</v>
      </c>
      <c r="L23" s="111">
        <v>2</v>
      </c>
      <c r="M23" s="111">
        <v>3.4430000000000001</v>
      </c>
    </row>
    <row r="24" spans="5:13" ht="15" thickBot="1" x14ac:dyDescent="0.35">
      <c r="E24" s="119" t="s">
        <v>31</v>
      </c>
      <c r="F24" s="85">
        <v>0.8</v>
      </c>
      <c r="G24" s="111">
        <v>8.5</v>
      </c>
      <c r="H24" s="111">
        <v>8.7200000000000006</v>
      </c>
      <c r="I24" s="111">
        <v>8.2799999999999994</v>
      </c>
      <c r="J24" s="111">
        <v>5</v>
      </c>
      <c r="K24" s="111">
        <v>4.82</v>
      </c>
      <c r="L24" s="111">
        <v>2.5</v>
      </c>
      <c r="M24" s="111">
        <v>4.5830000000000002</v>
      </c>
    </row>
    <row r="25" spans="5:13" ht="15" thickBot="1" x14ac:dyDescent="0.35">
      <c r="E25" s="119" t="s">
        <v>32</v>
      </c>
      <c r="F25" s="85">
        <v>1</v>
      </c>
      <c r="G25" s="111">
        <v>10</v>
      </c>
      <c r="H25" s="111">
        <v>10.220000000000001</v>
      </c>
      <c r="I25" s="111">
        <v>9.7799999999999994</v>
      </c>
      <c r="J25" s="111">
        <v>6</v>
      </c>
      <c r="K25" s="111">
        <v>5.7</v>
      </c>
      <c r="L25" s="111">
        <v>3</v>
      </c>
      <c r="M25" s="111">
        <v>5.7229999999999999</v>
      </c>
    </row>
    <row r="26" spans="5:13" ht="15" thickBot="1" x14ac:dyDescent="0.35">
      <c r="E26" s="119" t="s">
        <v>34</v>
      </c>
      <c r="F26" s="85">
        <v>1.25</v>
      </c>
      <c r="G26" s="111">
        <v>13</v>
      </c>
      <c r="H26" s="111">
        <v>13.27</v>
      </c>
      <c r="I26" s="111">
        <v>12.73</v>
      </c>
      <c r="J26" s="111">
        <v>8</v>
      </c>
      <c r="K26" s="111">
        <v>7.64</v>
      </c>
      <c r="L26" s="111">
        <v>4</v>
      </c>
      <c r="M26" s="111">
        <v>6.8630000000000004</v>
      </c>
    </row>
    <row r="27" spans="5:13" ht="15" thickBot="1" x14ac:dyDescent="0.35">
      <c r="E27" s="119" t="s">
        <v>35</v>
      </c>
      <c r="F27" s="85">
        <v>1.5</v>
      </c>
      <c r="G27" s="111">
        <v>16</v>
      </c>
      <c r="H27" s="111">
        <v>16.27</v>
      </c>
      <c r="I27" s="111">
        <v>15.73</v>
      </c>
      <c r="J27" s="111">
        <v>10</v>
      </c>
      <c r="K27" s="111">
        <v>9.64</v>
      </c>
      <c r="L27" s="111">
        <v>5</v>
      </c>
      <c r="M27" s="111">
        <v>9.1489999999999991</v>
      </c>
    </row>
    <row r="28" spans="5:13" ht="15" thickBot="1" x14ac:dyDescent="0.35">
      <c r="E28" s="119" t="s">
        <v>36</v>
      </c>
      <c r="F28" s="85">
        <v>1.75</v>
      </c>
      <c r="G28" s="111">
        <v>18</v>
      </c>
      <c r="H28" s="111">
        <v>18.27</v>
      </c>
      <c r="I28" s="111">
        <v>17.73</v>
      </c>
      <c r="J28" s="111">
        <v>12</v>
      </c>
      <c r="K28" s="111">
        <v>11.57</v>
      </c>
      <c r="L28" s="111">
        <v>6</v>
      </c>
      <c r="M28" s="111">
        <v>11.429</v>
      </c>
    </row>
    <row r="29" spans="5:13" ht="15" thickBot="1" x14ac:dyDescent="0.35">
      <c r="E29" s="119" t="s">
        <v>346</v>
      </c>
      <c r="F29" s="85">
        <v>2</v>
      </c>
      <c r="G29" s="111">
        <v>21</v>
      </c>
      <c r="H29" s="111">
        <v>21.33</v>
      </c>
      <c r="I29" s="111">
        <v>20.67</v>
      </c>
      <c r="J29" s="111">
        <v>14</v>
      </c>
      <c r="K29" s="111">
        <v>13.57</v>
      </c>
      <c r="L29" s="111">
        <v>7</v>
      </c>
      <c r="M29" s="111">
        <v>13.715999999999999</v>
      </c>
    </row>
    <row r="30" spans="5:13" ht="15" thickBot="1" x14ac:dyDescent="0.35">
      <c r="E30" s="119" t="s">
        <v>38</v>
      </c>
      <c r="F30" s="85">
        <v>2</v>
      </c>
      <c r="G30" s="111">
        <v>24</v>
      </c>
      <c r="H30" s="111">
        <v>24.33</v>
      </c>
      <c r="I30" s="111">
        <v>23.67</v>
      </c>
      <c r="J30" s="111">
        <v>16</v>
      </c>
      <c r="K30" s="111">
        <v>15.57</v>
      </c>
      <c r="L30" s="111">
        <v>8</v>
      </c>
      <c r="M30" s="111">
        <v>15.996</v>
      </c>
    </row>
    <row r="31" spans="5:13" ht="15" thickBot="1" x14ac:dyDescent="0.35">
      <c r="E31" s="119" t="s">
        <v>40</v>
      </c>
      <c r="F31" s="85">
        <v>2.5</v>
      </c>
      <c r="G31" s="111">
        <v>30</v>
      </c>
      <c r="H31" s="111">
        <v>30.33</v>
      </c>
      <c r="I31" s="111">
        <v>29.67</v>
      </c>
      <c r="J31" s="111">
        <v>20</v>
      </c>
      <c r="K31" s="111">
        <v>19.48</v>
      </c>
      <c r="L31" s="111">
        <v>10</v>
      </c>
      <c r="M31" s="111">
        <v>19.437000000000001</v>
      </c>
    </row>
    <row r="32" spans="5:13" ht="15" thickBot="1" x14ac:dyDescent="0.35">
      <c r="E32" s="119" t="s">
        <v>42</v>
      </c>
      <c r="F32" s="85">
        <v>3</v>
      </c>
      <c r="G32" s="111">
        <v>36</v>
      </c>
      <c r="H32" s="111">
        <v>36.39</v>
      </c>
      <c r="I32" s="111">
        <v>35.61</v>
      </c>
      <c r="J32" s="111">
        <v>24</v>
      </c>
      <c r="K32" s="111">
        <v>23.48</v>
      </c>
      <c r="L32" s="111">
        <v>12</v>
      </c>
      <c r="M32" s="111">
        <v>21.734000000000002</v>
      </c>
    </row>
    <row r="33" spans="5:13" ht="15" thickBot="1" x14ac:dyDescent="0.35">
      <c r="E33" s="119" t="s">
        <v>44</v>
      </c>
      <c r="F33" s="85">
        <v>3.5</v>
      </c>
      <c r="G33" s="111">
        <v>45</v>
      </c>
      <c r="H33" s="111">
        <v>45.39</v>
      </c>
      <c r="I33" s="111">
        <v>44.61</v>
      </c>
      <c r="J33" s="111">
        <v>30</v>
      </c>
      <c r="K33" s="111">
        <v>29.48</v>
      </c>
      <c r="L33" s="111">
        <v>15.5</v>
      </c>
      <c r="M33" s="111">
        <v>25.154</v>
      </c>
    </row>
    <row r="34" spans="5:13" ht="15" thickBot="1" x14ac:dyDescent="0.35">
      <c r="E34" s="119" t="s">
        <v>46</v>
      </c>
      <c r="F34" s="85">
        <v>4</v>
      </c>
      <c r="G34" s="111">
        <v>54</v>
      </c>
      <c r="H34" s="111">
        <v>54.46</v>
      </c>
      <c r="I34" s="111">
        <v>53.54</v>
      </c>
      <c r="J34" s="111">
        <v>36</v>
      </c>
      <c r="K34" s="111">
        <v>35.380000000000003</v>
      </c>
      <c r="L34" s="111">
        <v>19</v>
      </c>
      <c r="M34" s="111">
        <v>30.853999999999999</v>
      </c>
    </row>
    <row r="35" spans="5:13" ht="15" thickBot="1" x14ac:dyDescent="0.35">
      <c r="E35" s="119" t="s">
        <v>49</v>
      </c>
      <c r="F35" s="85">
        <v>4.5</v>
      </c>
      <c r="G35" s="111">
        <v>63</v>
      </c>
      <c r="H35" s="111">
        <v>63.46</v>
      </c>
      <c r="I35" s="111">
        <v>62.54</v>
      </c>
      <c r="J35" s="111">
        <v>42</v>
      </c>
      <c r="K35" s="111">
        <v>41.38</v>
      </c>
      <c r="L35" s="111">
        <v>24</v>
      </c>
      <c r="M35" s="111">
        <v>36.570999999999998</v>
      </c>
    </row>
    <row r="36" spans="5:13" ht="15" thickBot="1" x14ac:dyDescent="0.35">
      <c r="E36" s="119" t="s">
        <v>51</v>
      </c>
      <c r="F36" s="85">
        <v>5</v>
      </c>
      <c r="G36" s="111">
        <v>72</v>
      </c>
      <c r="H36" s="111">
        <v>72.459999999999994</v>
      </c>
      <c r="I36" s="111">
        <v>71.540000000000006</v>
      </c>
      <c r="J36" s="111">
        <v>48</v>
      </c>
      <c r="K36" s="111">
        <v>47.38</v>
      </c>
      <c r="L36" s="111">
        <v>28</v>
      </c>
      <c r="M36" s="111">
        <v>41.131</v>
      </c>
    </row>
    <row r="37" spans="5:13" ht="15" thickBot="1" x14ac:dyDescent="0.35">
      <c r="E37" s="119" t="s">
        <v>53</v>
      </c>
      <c r="F37" s="85">
        <v>5.5</v>
      </c>
      <c r="G37" s="111">
        <v>84</v>
      </c>
      <c r="H37" s="111">
        <v>84.54</v>
      </c>
      <c r="I37" s="111">
        <v>83.46</v>
      </c>
      <c r="J37" s="111">
        <v>56</v>
      </c>
      <c r="K37" s="111">
        <v>55.26</v>
      </c>
      <c r="L37" s="111">
        <v>34</v>
      </c>
      <c r="M37" s="111">
        <v>46.831000000000003</v>
      </c>
    </row>
    <row r="38" spans="5:13" ht="15" thickBot="1" x14ac:dyDescent="0.35">
      <c r="E38" s="119" t="s">
        <v>55</v>
      </c>
      <c r="F38" s="85">
        <v>6</v>
      </c>
      <c r="G38" s="111">
        <v>96</v>
      </c>
      <c r="H38" s="111">
        <v>96.54</v>
      </c>
      <c r="I38" s="111">
        <v>95.46</v>
      </c>
      <c r="J38" s="111">
        <v>64</v>
      </c>
      <c r="K38" s="111">
        <v>63.26</v>
      </c>
      <c r="L38" s="111">
        <v>38</v>
      </c>
      <c r="M38" s="111">
        <v>52.530999999999999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C705-FF81-43A5-ADAA-7E8799757722}">
  <dimension ref="A1:AJ104"/>
  <sheetViews>
    <sheetView topLeftCell="A77" zoomScale="85" zoomScaleNormal="85" workbookViewId="0">
      <selection activeCell="A78" sqref="A78:N103"/>
    </sheetView>
  </sheetViews>
  <sheetFormatPr baseColWidth="10" defaultRowHeight="14.4" x14ac:dyDescent="0.3"/>
  <cols>
    <col min="1" max="1" width="9.109375" customWidth="1"/>
    <col min="2" max="2" width="11.5546875" customWidth="1"/>
    <col min="3" max="3" width="8.5546875" customWidth="1"/>
    <col min="4" max="4" width="9.44140625" customWidth="1"/>
    <col min="5" max="5" width="9" customWidth="1"/>
    <col min="6" max="6" width="8.109375" customWidth="1"/>
    <col min="7" max="7" width="8.33203125" customWidth="1"/>
    <col min="8" max="8" width="7.88671875" customWidth="1"/>
    <col min="9" max="9" width="10" customWidth="1"/>
    <col min="10" max="10" width="8" customWidth="1"/>
    <col min="11" max="11" width="9.33203125" customWidth="1"/>
    <col min="12" max="12" width="7.6640625" customWidth="1"/>
    <col min="13" max="13" width="11.5546875" customWidth="1"/>
    <col min="14" max="14" width="15" customWidth="1"/>
    <col min="15" max="15" width="11" bestFit="1" customWidth="1"/>
    <col min="16" max="16" width="5.5546875" bestFit="1" customWidth="1"/>
    <col min="17" max="17" width="17.33203125" bestFit="1" customWidth="1"/>
  </cols>
  <sheetData>
    <row r="1" spans="1:36" ht="59.25" customHeight="1" x14ac:dyDescent="0.3">
      <c r="A1" s="57" t="s">
        <v>306</v>
      </c>
      <c r="B1" s="45" t="s">
        <v>263</v>
      </c>
      <c r="C1" s="39" t="s">
        <v>285</v>
      </c>
      <c r="D1" s="39" t="s">
        <v>275</v>
      </c>
      <c r="E1" s="40" t="s">
        <v>286</v>
      </c>
      <c r="F1" s="40" t="s">
        <v>277</v>
      </c>
      <c r="G1" s="39" t="s">
        <v>287</v>
      </c>
      <c r="H1" s="39" t="s">
        <v>279</v>
      </c>
      <c r="I1" s="41" t="s">
        <v>288</v>
      </c>
      <c r="J1" s="41" t="s">
        <v>289</v>
      </c>
      <c r="K1" s="42" t="s">
        <v>290</v>
      </c>
      <c r="L1" s="42" t="s">
        <v>291</v>
      </c>
      <c r="M1" s="43" t="s">
        <v>307</v>
      </c>
      <c r="N1" s="44" t="s">
        <v>15</v>
      </c>
      <c r="T1" t="s">
        <v>258</v>
      </c>
      <c r="W1" t="s">
        <v>294</v>
      </c>
      <c r="AD1" t="s">
        <v>295</v>
      </c>
      <c r="AH1" t="s">
        <v>259</v>
      </c>
      <c r="AJ1" t="s">
        <v>260</v>
      </c>
    </row>
    <row r="2" spans="1:36" x14ac:dyDescent="0.3">
      <c r="A2" s="64">
        <f>A79/1000</f>
        <v>1E-3</v>
      </c>
      <c r="B2" s="64">
        <f t="shared" ref="B2:N2" si="0">B79/1000</f>
        <v>2.5000000000000001E-4</v>
      </c>
      <c r="C2" s="64">
        <f t="shared" si="0"/>
        <v>1E-3</v>
      </c>
      <c r="D2" s="64">
        <f t="shared" si="0"/>
        <v>9.3300000000000002E-4</v>
      </c>
      <c r="E2" s="64">
        <f t="shared" si="0"/>
        <v>8.3799999999999999E-4</v>
      </c>
      <c r="F2" s="64">
        <f t="shared" si="0"/>
        <v>7.85E-4</v>
      </c>
      <c r="G2" s="64">
        <f t="shared" si="0"/>
        <v>6.9299999999999993E-4</v>
      </c>
      <c r="H2" s="64">
        <f t="shared" si="0"/>
        <v>6.3000000000000003E-4</v>
      </c>
      <c r="I2" s="64">
        <f t="shared" si="0"/>
        <v>8.3799999999999999E-4</v>
      </c>
      <c r="J2" s="64">
        <f t="shared" si="0"/>
        <v>8.9400000000000005E-4</v>
      </c>
      <c r="K2" s="64">
        <f t="shared" si="0"/>
        <v>7.2899999999999994E-4</v>
      </c>
      <c r="L2" s="64">
        <f t="shared" si="0"/>
        <v>7.85E-4</v>
      </c>
      <c r="M2" s="64">
        <f t="shared" si="0"/>
        <v>3.77E-4</v>
      </c>
      <c r="N2" s="64">
        <f t="shared" si="0"/>
        <v>4.6000000000000001E-4</v>
      </c>
      <c r="AH2" t="s">
        <v>261</v>
      </c>
      <c r="AJ2" s="32">
        <v>45748</v>
      </c>
    </row>
    <row r="3" spans="1:36" x14ac:dyDescent="0.3">
      <c r="A3" s="64">
        <f t="shared" ref="A3:N3" si="1">A80/1000</f>
        <v>1.1000000000000001E-3</v>
      </c>
      <c r="B3" s="64">
        <f t="shared" si="1"/>
        <v>2.5000000000000001E-4</v>
      </c>
      <c r="C3" s="64">
        <f t="shared" si="1"/>
        <v>1.1000000000000001E-3</v>
      </c>
      <c r="D3" s="64">
        <f t="shared" si="1"/>
        <v>1.0329999999999998E-3</v>
      </c>
      <c r="E3" s="64">
        <f t="shared" si="1"/>
        <v>9.3799999999999992E-4</v>
      </c>
      <c r="F3" s="64">
        <f t="shared" si="1"/>
        <v>8.8500000000000004E-4</v>
      </c>
      <c r="G3" s="64">
        <f t="shared" si="1"/>
        <v>7.9300000000000009E-4</v>
      </c>
      <c r="H3" s="64">
        <f t="shared" si="1"/>
        <v>7.2999999999999996E-4</v>
      </c>
      <c r="I3" s="64">
        <f t="shared" si="1"/>
        <v>9.3799999999999992E-4</v>
      </c>
      <c r="J3" s="64">
        <f t="shared" si="1"/>
        <v>9.9400000000000009E-4</v>
      </c>
      <c r="K3" s="64">
        <f t="shared" si="1"/>
        <v>8.2899999999999998E-4</v>
      </c>
      <c r="L3" s="64">
        <f t="shared" si="1"/>
        <v>8.8500000000000004E-4</v>
      </c>
      <c r="M3" s="64">
        <f t="shared" si="1"/>
        <v>4.9399999999999997E-4</v>
      </c>
      <c r="N3" s="64">
        <f t="shared" si="1"/>
        <v>5.8799999999999998E-4</v>
      </c>
      <c r="T3" t="s">
        <v>262</v>
      </c>
      <c r="V3" t="s">
        <v>263</v>
      </c>
      <c r="W3" t="s">
        <v>264</v>
      </c>
      <c r="Z3" t="s">
        <v>265</v>
      </c>
      <c r="AB3" t="s">
        <v>266</v>
      </c>
      <c r="AD3" t="s">
        <v>265</v>
      </c>
      <c r="AF3" t="s">
        <v>266</v>
      </c>
      <c r="AH3" t="s">
        <v>267</v>
      </c>
    </row>
    <row r="4" spans="1:36" x14ac:dyDescent="0.3">
      <c r="A4" s="64">
        <f t="shared" ref="A4:N4" si="2">A81/1000</f>
        <v>1.1999999999999999E-3</v>
      </c>
      <c r="B4" s="64">
        <f t="shared" si="2"/>
        <v>2.5000000000000001E-4</v>
      </c>
      <c r="C4" s="64">
        <f t="shared" si="2"/>
        <v>1.1999999999999999E-3</v>
      </c>
      <c r="D4" s="64">
        <f t="shared" si="2"/>
        <v>1.1330000000000001E-3</v>
      </c>
      <c r="E4" s="64">
        <f t="shared" si="2"/>
        <v>1.0380000000000001E-3</v>
      </c>
      <c r="F4" s="64">
        <f t="shared" si="2"/>
        <v>9.8499999999999998E-4</v>
      </c>
      <c r="G4" s="64">
        <f t="shared" si="2"/>
        <v>8.9300000000000002E-4</v>
      </c>
      <c r="H4" s="64">
        <f t="shared" si="2"/>
        <v>8.3000000000000001E-4</v>
      </c>
      <c r="I4" s="64">
        <f t="shared" si="2"/>
        <v>1.0380000000000001E-3</v>
      </c>
      <c r="J4" s="64">
        <f t="shared" si="2"/>
        <v>1.0940000000000001E-3</v>
      </c>
      <c r="K4" s="64">
        <f t="shared" si="2"/>
        <v>9.2900000000000003E-4</v>
      </c>
      <c r="L4" s="64">
        <f t="shared" si="2"/>
        <v>9.8499999999999998E-4</v>
      </c>
      <c r="M4" s="64">
        <f t="shared" si="2"/>
        <v>6.2600000000000004E-4</v>
      </c>
      <c r="N4" s="64">
        <f t="shared" si="2"/>
        <v>7.3200000000000001E-4</v>
      </c>
      <c r="T4" t="s">
        <v>268</v>
      </c>
      <c r="AJ4" t="s">
        <v>269</v>
      </c>
    </row>
    <row r="5" spans="1:36" x14ac:dyDescent="0.3">
      <c r="A5" s="64">
        <f t="shared" ref="A5:N5" si="3">A82/1000</f>
        <v>1.4E-3</v>
      </c>
      <c r="B5" s="64">
        <f t="shared" si="3"/>
        <v>2.9999999999999997E-4</v>
      </c>
      <c r="C5" s="64">
        <f t="shared" si="3"/>
        <v>1.4E-3</v>
      </c>
      <c r="D5" s="64">
        <f t="shared" si="3"/>
        <v>1.325E-3</v>
      </c>
      <c r="E5" s="64">
        <f t="shared" si="3"/>
        <v>1.2050000000000001E-3</v>
      </c>
      <c r="F5" s="64">
        <f t="shared" si="3"/>
        <v>1.1490000000000001E-3</v>
      </c>
      <c r="G5" s="64">
        <f t="shared" si="3"/>
        <v>1.0319999999999999E-3</v>
      </c>
      <c r="H5" s="64">
        <f t="shared" si="3"/>
        <v>9.6400000000000001E-4</v>
      </c>
      <c r="I5" s="64">
        <f t="shared" si="3"/>
        <v>1.2050000000000001E-3</v>
      </c>
      <c r="J5" s="64">
        <f t="shared" si="3"/>
        <v>1.2649999999999998E-3</v>
      </c>
      <c r="K5" s="64">
        <f t="shared" si="3"/>
        <v>1.075E-3</v>
      </c>
      <c r="L5" s="64">
        <f t="shared" si="3"/>
        <v>1.142E-3</v>
      </c>
      <c r="M5" s="64">
        <f t="shared" si="3"/>
        <v>8.3699999999999996E-4</v>
      </c>
      <c r="N5" s="64">
        <f t="shared" si="3"/>
        <v>9.8299999999999993E-4</v>
      </c>
      <c r="AH5" t="s">
        <v>270</v>
      </c>
      <c r="AI5" t="s">
        <v>271</v>
      </c>
    </row>
    <row r="6" spans="1:36" x14ac:dyDescent="0.3">
      <c r="A6" s="64">
        <f t="shared" ref="A6:N6" si="4">A83/1000</f>
        <v>1.6000000000000001E-3</v>
      </c>
      <c r="B6" s="64">
        <f t="shared" si="4"/>
        <v>3.5E-4</v>
      </c>
      <c r="C6" s="64">
        <f t="shared" si="4"/>
        <v>1.5809999999999999E-3</v>
      </c>
      <c r="D6" s="64">
        <f t="shared" si="4"/>
        <v>1.4959999999999999E-3</v>
      </c>
      <c r="E6" s="64">
        <f t="shared" si="4"/>
        <v>1.3540000000000002E-3</v>
      </c>
      <c r="F6" s="64">
        <f t="shared" si="4"/>
        <v>1.2909999999999998E-3</v>
      </c>
      <c r="G6" s="64">
        <f t="shared" si="4"/>
        <v>1.1519999999999998E-3</v>
      </c>
      <c r="H6" s="64">
        <f t="shared" si="4"/>
        <v>1.075E-3</v>
      </c>
      <c r="I6" s="64">
        <f t="shared" si="4"/>
        <v>1.3730000000000001E-3</v>
      </c>
      <c r="J6" s="64">
        <f t="shared" si="4"/>
        <v>1.4579999999999999E-3</v>
      </c>
      <c r="K6" s="64">
        <f t="shared" si="4"/>
        <v>1.2210000000000001E-3</v>
      </c>
      <c r="L6" s="64">
        <f t="shared" si="4"/>
        <v>1.3209999999999999E-3</v>
      </c>
      <c r="M6" s="64">
        <f t="shared" si="4"/>
        <v>1.075E-3</v>
      </c>
      <c r="N6" s="64">
        <f t="shared" si="4"/>
        <v>1.2700000000000001E-3</v>
      </c>
      <c r="T6" t="s">
        <v>272</v>
      </c>
      <c r="W6" t="s">
        <v>273</v>
      </c>
    </row>
    <row r="7" spans="1:36" x14ac:dyDescent="0.3">
      <c r="A7" s="64">
        <f t="shared" ref="A7:N7" si="5">A84/1000</f>
        <v>1.8E-3</v>
      </c>
      <c r="B7" s="64">
        <f t="shared" si="5"/>
        <v>3.5E-4</v>
      </c>
      <c r="C7" s="64">
        <f t="shared" si="5"/>
        <v>1.7809999999999998E-3</v>
      </c>
      <c r="D7" s="64">
        <f t="shared" si="5"/>
        <v>1.696E-3</v>
      </c>
      <c r="E7" s="64">
        <f t="shared" si="5"/>
        <v>1.554E-3</v>
      </c>
      <c r="F7" s="64">
        <f t="shared" si="5"/>
        <v>1.4910000000000001E-3</v>
      </c>
      <c r="G7" s="64">
        <f t="shared" si="5"/>
        <v>1.3520000000000001E-3</v>
      </c>
      <c r="H7" s="64">
        <f t="shared" si="5"/>
        <v>1.2749999999999999E-3</v>
      </c>
      <c r="I7" s="64">
        <f t="shared" si="5"/>
        <v>1.573E-3</v>
      </c>
      <c r="J7" s="64">
        <f t="shared" si="5"/>
        <v>1.658E-3</v>
      </c>
      <c r="K7" s="64">
        <f t="shared" si="5"/>
        <v>1.421E-3</v>
      </c>
      <c r="L7" s="64">
        <f t="shared" si="5"/>
        <v>1.521E-3</v>
      </c>
      <c r="M7" s="64">
        <f t="shared" si="5"/>
        <v>1.474E-3</v>
      </c>
      <c r="N7" s="64">
        <f t="shared" si="5"/>
        <v>1.6999999999999999E-3</v>
      </c>
      <c r="X7" t="s">
        <v>274</v>
      </c>
      <c r="Y7" t="s">
        <v>275</v>
      </c>
      <c r="Z7" t="s">
        <v>276</v>
      </c>
      <c r="AA7" t="s">
        <v>277</v>
      </c>
      <c r="AB7" t="s">
        <v>278</v>
      </c>
      <c r="AC7" t="s">
        <v>279</v>
      </c>
      <c r="AD7" t="s">
        <v>280</v>
      </c>
      <c r="AE7" t="s">
        <v>281</v>
      </c>
      <c r="AF7" t="s">
        <v>282</v>
      </c>
      <c r="AG7" t="s">
        <v>283</v>
      </c>
    </row>
    <row r="8" spans="1:36" x14ac:dyDescent="0.3">
      <c r="A8" s="64">
        <f t="shared" ref="A8:N8" si="6">A85/1000</f>
        <v>2E-3</v>
      </c>
      <c r="B8" s="64">
        <f t="shared" si="6"/>
        <v>4.0000000000000002E-4</v>
      </c>
      <c r="C8" s="64">
        <f t="shared" si="6"/>
        <v>1.9810000000000001E-3</v>
      </c>
      <c r="D8" s="64">
        <f t="shared" si="6"/>
        <v>1.8859999999999999E-3</v>
      </c>
      <c r="E8" s="64">
        <f t="shared" si="6"/>
        <v>1.7210000000000001E-3</v>
      </c>
      <c r="F8" s="64">
        <f t="shared" si="6"/>
        <v>1.6539999999999999E-3</v>
      </c>
      <c r="G8" s="64">
        <f t="shared" si="6"/>
        <v>1.49E-3</v>
      </c>
      <c r="H8" s="64">
        <f t="shared" si="6"/>
        <v>1.407E-3</v>
      </c>
      <c r="I8" s="64">
        <f t="shared" si="6"/>
        <v>1.74E-3</v>
      </c>
      <c r="J8" s="64">
        <f t="shared" si="6"/>
        <v>1.83E-3</v>
      </c>
      <c r="K8" s="64">
        <f t="shared" si="6"/>
        <v>1.567E-3</v>
      </c>
      <c r="L8" s="64">
        <f t="shared" si="6"/>
        <v>1.6790000000000002E-3</v>
      </c>
      <c r="M8" s="64">
        <f t="shared" si="6"/>
        <v>1.7880000000000001E-3</v>
      </c>
      <c r="N8" s="64">
        <f t="shared" si="6"/>
        <v>2.0699999999999998E-3</v>
      </c>
    </row>
    <row r="9" spans="1:36" x14ac:dyDescent="0.3">
      <c r="A9" s="64">
        <f t="shared" ref="A9:N9" si="7">A86/1000</f>
        <v>2.2000000000000001E-3</v>
      </c>
      <c r="B9" s="64">
        <f t="shared" si="7"/>
        <v>4.4999999999999999E-4</v>
      </c>
      <c r="C9" s="64">
        <f t="shared" si="7"/>
        <v>2.1800000000000001E-3</v>
      </c>
      <c r="D9" s="64">
        <f t="shared" si="7"/>
        <v>2.0800000000000003E-3</v>
      </c>
      <c r="E9" s="64">
        <f t="shared" si="7"/>
        <v>1.8879999999999999E-3</v>
      </c>
      <c r="F9" s="64">
        <f t="shared" si="7"/>
        <v>1.817E-3</v>
      </c>
      <c r="G9" s="64">
        <f t="shared" si="7"/>
        <v>1.6279999999999999E-3</v>
      </c>
      <c r="H9" s="64">
        <f t="shared" si="7"/>
        <v>1.5400000000000001E-3</v>
      </c>
      <c r="I9" s="64">
        <f t="shared" si="7"/>
        <v>1.908E-3</v>
      </c>
      <c r="J9" s="64">
        <f t="shared" si="7"/>
        <v>2.003E-3</v>
      </c>
      <c r="K9" s="64">
        <f t="shared" si="7"/>
        <v>1.7130000000000001E-3</v>
      </c>
      <c r="L9" s="64">
        <f t="shared" si="7"/>
        <v>1.838E-3</v>
      </c>
      <c r="M9" s="64">
        <f t="shared" si="7"/>
        <v>2.1329999999999999E-3</v>
      </c>
      <c r="N9" s="64">
        <f t="shared" si="7"/>
        <v>2.48E-3</v>
      </c>
    </row>
    <row r="10" spans="1:36" x14ac:dyDescent="0.3">
      <c r="A10" s="64">
        <f t="shared" ref="A10:N10" si="8">A87/1000</f>
        <v>2.5000000000000001E-3</v>
      </c>
      <c r="B10" s="64">
        <f t="shared" si="8"/>
        <v>4.4999999999999999E-4</v>
      </c>
      <c r="C10" s="64">
        <f t="shared" si="8"/>
        <v>2.48E-3</v>
      </c>
      <c r="D10" s="64">
        <f t="shared" si="8"/>
        <v>2.3799999999999997E-3</v>
      </c>
      <c r="E10" s="64">
        <f t="shared" si="8"/>
        <v>2.1880000000000003E-3</v>
      </c>
      <c r="F10" s="64">
        <f t="shared" si="8"/>
        <v>2.117E-3</v>
      </c>
      <c r="G10" s="64">
        <f t="shared" si="8"/>
        <v>1.928E-3</v>
      </c>
      <c r="H10" s="64">
        <f t="shared" si="8"/>
        <v>1.8400000000000001E-3</v>
      </c>
      <c r="I10" s="64">
        <f t="shared" si="8"/>
        <v>2.2080000000000003E-3</v>
      </c>
      <c r="J10" s="64">
        <f t="shared" si="8"/>
        <v>2.3029999999999999E-3</v>
      </c>
      <c r="K10" s="64">
        <f t="shared" si="8"/>
        <v>2.013E-3</v>
      </c>
      <c r="L10" s="64">
        <f t="shared" si="8"/>
        <v>2.1379999999999997E-3</v>
      </c>
      <c r="M10" s="64">
        <f t="shared" si="8"/>
        <v>2.98E-3</v>
      </c>
      <c r="N10" s="64">
        <f t="shared" si="8"/>
        <v>3.3900000000000002E-3</v>
      </c>
      <c r="T10" t="s">
        <v>284</v>
      </c>
      <c r="V10">
        <v>0.25</v>
      </c>
      <c r="W10" s="33">
        <v>1000</v>
      </c>
      <c r="Y10">
        <v>0.93300000000000005</v>
      </c>
      <c r="Z10">
        <v>0.83799999999999997</v>
      </c>
      <c r="AA10">
        <v>0.78500000000000003</v>
      </c>
      <c r="AB10">
        <v>0.69299999999999995</v>
      </c>
      <c r="AC10">
        <v>0.63</v>
      </c>
      <c r="AD10">
        <v>0.83799999999999997</v>
      </c>
      <c r="AE10">
        <v>0.89400000000000002</v>
      </c>
      <c r="AF10">
        <v>0.72899999999999998</v>
      </c>
      <c r="AG10">
        <v>0.78500000000000003</v>
      </c>
      <c r="AH10">
        <v>0.377</v>
      </c>
      <c r="AI10">
        <v>0.46</v>
      </c>
    </row>
    <row r="11" spans="1:36" x14ac:dyDescent="0.3">
      <c r="A11" s="64">
        <f t="shared" ref="A11:N11" si="9">A88/1000</f>
        <v>3.0000000000000001E-3</v>
      </c>
      <c r="B11" s="64">
        <f t="shared" si="9"/>
        <v>5.0000000000000001E-4</v>
      </c>
      <c r="C11" s="64">
        <f t="shared" si="9"/>
        <v>2.98E-3</v>
      </c>
      <c r="D11" s="64">
        <f t="shared" si="9"/>
        <v>2.8740000000000003E-3</v>
      </c>
      <c r="E11" s="64">
        <f t="shared" si="9"/>
        <v>2.6549999999999998E-3</v>
      </c>
      <c r="F11" s="64">
        <f t="shared" si="9"/>
        <v>2.5800000000000003E-3</v>
      </c>
      <c r="G11" s="64">
        <f t="shared" si="9"/>
        <v>2.3670000000000002E-3</v>
      </c>
      <c r="H11" s="64">
        <f t="shared" si="9"/>
        <v>2.2730000000000003E-3</v>
      </c>
      <c r="I11" s="64">
        <f t="shared" si="9"/>
        <v>2.6749999999999999E-3</v>
      </c>
      <c r="J11" s="64">
        <f t="shared" si="9"/>
        <v>2.7750000000000001E-3</v>
      </c>
      <c r="K11" s="64">
        <f t="shared" si="9"/>
        <v>2.4590000000000002E-3</v>
      </c>
      <c r="L11" s="64">
        <f t="shared" si="9"/>
        <v>2.5990000000000002E-3</v>
      </c>
      <c r="M11" s="64">
        <f t="shared" si="9"/>
        <v>4.4749999999999998E-3</v>
      </c>
      <c r="N11" s="64">
        <f t="shared" si="9"/>
        <v>5.0300000000000006E-3</v>
      </c>
      <c r="T11" t="s">
        <v>296</v>
      </c>
      <c r="V11">
        <v>0.25</v>
      </c>
      <c r="W11" s="33">
        <v>1100</v>
      </c>
      <c r="Y11" s="33">
        <v>1033</v>
      </c>
      <c r="Z11">
        <v>0.93799999999999994</v>
      </c>
      <c r="AA11">
        <v>0.88500000000000001</v>
      </c>
      <c r="AB11">
        <v>0.79300000000000004</v>
      </c>
      <c r="AC11">
        <v>0.73</v>
      </c>
      <c r="AD11">
        <v>0.93799999999999994</v>
      </c>
      <c r="AE11">
        <v>0.99399999999999999</v>
      </c>
      <c r="AF11">
        <v>0.82899999999999996</v>
      </c>
      <c r="AG11">
        <v>0.88500000000000001</v>
      </c>
      <c r="AH11">
        <v>0.49399999999999999</v>
      </c>
      <c r="AI11">
        <v>0.58799999999999997</v>
      </c>
    </row>
    <row r="12" spans="1:36" x14ac:dyDescent="0.3">
      <c r="A12" s="64">
        <f t="shared" ref="A12:N12" si="10">A89/1000</f>
        <v>3.5000000000000001E-3</v>
      </c>
      <c r="B12" s="64">
        <f t="shared" si="10"/>
        <v>5.9999999999999995E-4</v>
      </c>
      <c r="C12" s="64">
        <f t="shared" si="10"/>
        <v>3.4789999999999999E-3</v>
      </c>
      <c r="D12" s="64">
        <f t="shared" si="10"/>
        <v>3.3540000000000002E-3</v>
      </c>
      <c r="E12" s="64">
        <f t="shared" si="10"/>
        <v>3.0890000000000002E-3</v>
      </c>
      <c r="F12" s="64">
        <f t="shared" si="10"/>
        <v>3.0040000000000002E-3</v>
      </c>
      <c r="G12" s="64">
        <f t="shared" si="10"/>
        <v>2.7429999999999998E-3</v>
      </c>
      <c r="H12" s="64">
        <f t="shared" si="10"/>
        <v>2.6349999999999998E-3</v>
      </c>
      <c r="I12" s="64">
        <f t="shared" si="10"/>
        <v>3.1099999999999999E-3</v>
      </c>
      <c r="J12" s="64">
        <f t="shared" si="10"/>
        <v>3.222E-3</v>
      </c>
      <c r="K12" s="64">
        <f t="shared" si="10"/>
        <v>2.8500000000000001E-3</v>
      </c>
      <c r="L12" s="64">
        <f t="shared" si="10"/>
        <v>3.0099999999999997E-3</v>
      </c>
      <c r="M12" s="64">
        <f t="shared" si="10"/>
        <v>6.0000000000000001E-3</v>
      </c>
      <c r="N12" s="64">
        <f t="shared" si="10"/>
        <v>6.7800000000000004E-3</v>
      </c>
      <c r="T12" t="s">
        <v>297</v>
      </c>
      <c r="V12">
        <v>0.25</v>
      </c>
      <c r="W12" s="33">
        <v>1200</v>
      </c>
      <c r="Y12" s="33">
        <v>1133</v>
      </c>
      <c r="Z12" s="33">
        <v>1038</v>
      </c>
      <c r="AA12">
        <v>0.98499999999999999</v>
      </c>
      <c r="AB12">
        <v>0.89300000000000002</v>
      </c>
      <c r="AC12">
        <v>0.83</v>
      </c>
      <c r="AD12" s="33">
        <v>1038</v>
      </c>
      <c r="AE12" s="33">
        <v>1094</v>
      </c>
      <c r="AF12">
        <v>0.92900000000000005</v>
      </c>
      <c r="AG12">
        <v>0.98499999999999999</v>
      </c>
      <c r="AH12">
        <v>0.626</v>
      </c>
      <c r="AI12">
        <v>0.73199999999999998</v>
      </c>
    </row>
    <row r="13" spans="1:36" x14ac:dyDescent="0.3">
      <c r="A13" s="64">
        <f t="shared" ref="A13:N13" si="11">A90/1000</f>
        <v>4.0000000000000001E-3</v>
      </c>
      <c r="B13" s="64">
        <f t="shared" si="11"/>
        <v>6.9999999999999999E-4</v>
      </c>
      <c r="C13" s="64">
        <f t="shared" si="11"/>
        <v>3.9780000000000006E-3</v>
      </c>
      <c r="D13" s="64">
        <f t="shared" si="11"/>
        <v>3.8380000000000003E-3</v>
      </c>
      <c r="E13" s="64">
        <f t="shared" si="11"/>
        <v>3.5230000000000001E-3</v>
      </c>
      <c r="F13" s="64">
        <f t="shared" si="11"/>
        <v>3.4329999999999999E-3</v>
      </c>
      <c r="G13" s="64">
        <f t="shared" si="11"/>
        <v>3.1190000000000002E-3</v>
      </c>
      <c r="H13" s="64">
        <f t="shared" si="11"/>
        <v>3.0019999999999999E-3</v>
      </c>
      <c r="I13" s="64">
        <f t="shared" si="11"/>
        <v>3.545E-3</v>
      </c>
      <c r="J13" s="64">
        <f t="shared" si="11"/>
        <v>3.663E-3</v>
      </c>
      <c r="K13" s="64">
        <f t="shared" si="11"/>
        <v>3.2420000000000001E-3</v>
      </c>
      <c r="L13" s="64">
        <f t="shared" si="11"/>
        <v>3.4220000000000001E-3</v>
      </c>
      <c r="M13" s="64">
        <f t="shared" si="11"/>
        <v>7.7489999999999998E-3</v>
      </c>
      <c r="N13" s="64">
        <f t="shared" si="11"/>
        <v>8.7799999999999996E-3</v>
      </c>
      <c r="T13" t="s">
        <v>298</v>
      </c>
      <c r="V13">
        <v>0.3</v>
      </c>
      <c r="W13" s="33">
        <v>1400</v>
      </c>
      <c r="Y13" s="33">
        <v>1325</v>
      </c>
      <c r="Z13" s="33">
        <v>1205</v>
      </c>
      <c r="AA13" s="33">
        <v>1149</v>
      </c>
      <c r="AB13" s="33">
        <v>1032</v>
      </c>
      <c r="AC13">
        <v>0.96399999999999997</v>
      </c>
      <c r="AD13" s="33">
        <v>1205</v>
      </c>
      <c r="AE13" s="33">
        <v>1265</v>
      </c>
      <c r="AF13" s="33">
        <v>1075</v>
      </c>
      <c r="AG13" s="33">
        <v>1142</v>
      </c>
      <c r="AH13">
        <v>0.83699999999999997</v>
      </c>
      <c r="AI13">
        <v>0.98299999999999998</v>
      </c>
    </row>
    <row r="14" spans="1:36" x14ac:dyDescent="0.3">
      <c r="A14" s="64">
        <f t="shared" ref="A14:N14" si="12">A91/1000</f>
        <v>4.4999999999999997E-3</v>
      </c>
      <c r="B14" s="64">
        <f t="shared" si="12"/>
        <v>7.5000000000000002E-4</v>
      </c>
      <c r="C14" s="64">
        <f t="shared" si="12"/>
        <v>4.4779999999999993E-3</v>
      </c>
      <c r="D14" s="64">
        <f t="shared" si="12"/>
        <v>4.3379999999999998E-3</v>
      </c>
      <c r="E14" s="64">
        <f t="shared" si="12"/>
        <v>3.9909999999999998E-3</v>
      </c>
      <c r="F14" s="64">
        <f t="shared" si="12"/>
        <v>3.901E-3</v>
      </c>
      <c r="G14" s="64">
        <f t="shared" si="12"/>
        <v>3.558E-3</v>
      </c>
      <c r="H14" s="64">
        <f t="shared" si="12"/>
        <v>3.4390000000000002E-3</v>
      </c>
      <c r="I14" s="64">
        <f t="shared" si="12"/>
        <v>4.0130000000000001E-3</v>
      </c>
      <c r="J14" s="64">
        <f t="shared" si="12"/>
        <v>4.1310000000000001E-3</v>
      </c>
      <c r="K14" s="64">
        <f t="shared" si="12"/>
        <v>3.6880000000000003E-3</v>
      </c>
      <c r="L14" s="64">
        <f t="shared" si="12"/>
        <v>3.8779999999999999E-3</v>
      </c>
      <c r="M14" s="64">
        <f t="shared" si="12"/>
        <v>1.0070000000000001E-2</v>
      </c>
      <c r="N14" s="64">
        <f t="shared" si="12"/>
        <v>1.1300000000000001E-2</v>
      </c>
      <c r="T14">
        <v>1.6</v>
      </c>
      <c r="V14">
        <v>0.35</v>
      </c>
      <c r="W14" s="33">
        <v>1581</v>
      </c>
      <c r="Y14" s="33">
        <v>1496</v>
      </c>
      <c r="Z14" s="33">
        <v>1354</v>
      </c>
      <c r="AA14" s="33">
        <v>1291</v>
      </c>
      <c r="AB14" s="33">
        <v>1152</v>
      </c>
      <c r="AC14" s="33">
        <v>1075</v>
      </c>
      <c r="AD14" s="33">
        <v>1373</v>
      </c>
      <c r="AE14" s="33">
        <v>1458</v>
      </c>
      <c r="AF14" s="33">
        <v>1221</v>
      </c>
      <c r="AG14" s="33">
        <v>1321</v>
      </c>
      <c r="AH14" s="33">
        <v>1075</v>
      </c>
      <c r="AI14">
        <v>1.27</v>
      </c>
    </row>
    <row r="15" spans="1:36" x14ac:dyDescent="0.3">
      <c r="A15" s="64">
        <f t="shared" ref="A15:N15" si="13">A92/1000</f>
        <v>5.0000000000000001E-3</v>
      </c>
      <c r="B15" s="64">
        <f t="shared" si="13"/>
        <v>8.0000000000000004E-4</v>
      </c>
      <c r="C15" s="64">
        <f t="shared" si="13"/>
        <v>4.9760000000000004E-3</v>
      </c>
      <c r="D15" s="64">
        <f t="shared" si="13"/>
        <v>4.8259999999999996E-3</v>
      </c>
      <c r="E15" s="64">
        <f t="shared" si="13"/>
        <v>4.4560000000000008E-3</v>
      </c>
      <c r="F15" s="64">
        <f t="shared" si="13"/>
        <v>4.3609999999999994E-3</v>
      </c>
      <c r="G15" s="64">
        <f t="shared" si="13"/>
        <v>3.9950000000000003E-3</v>
      </c>
      <c r="H15" s="64">
        <f t="shared" si="13"/>
        <v>3.869E-3</v>
      </c>
      <c r="I15" s="64">
        <f t="shared" si="13"/>
        <v>4.4800000000000005E-3</v>
      </c>
      <c r="J15" s="64">
        <f t="shared" si="13"/>
        <v>4.6050000000000006E-3</v>
      </c>
      <c r="K15" s="64">
        <f t="shared" si="13"/>
        <v>4.1340000000000005E-3</v>
      </c>
      <c r="L15" s="64">
        <f t="shared" si="13"/>
        <v>4.3339999999999993E-3</v>
      </c>
      <c r="M15" s="64">
        <f t="shared" si="13"/>
        <v>1.269E-2</v>
      </c>
      <c r="N15" s="64">
        <f t="shared" si="13"/>
        <v>1.4199999999999999E-2</v>
      </c>
      <c r="T15">
        <v>1.8</v>
      </c>
      <c r="V15">
        <v>0.35</v>
      </c>
      <c r="W15" s="33">
        <v>1781</v>
      </c>
      <c r="Y15" s="33">
        <v>1696</v>
      </c>
      <c r="Z15" s="33">
        <v>1554</v>
      </c>
      <c r="AA15" s="33">
        <v>1491</v>
      </c>
      <c r="AB15" s="33">
        <v>1352</v>
      </c>
      <c r="AC15" s="33">
        <v>1275</v>
      </c>
      <c r="AD15" s="33">
        <v>1573</v>
      </c>
      <c r="AE15" s="33">
        <v>1658</v>
      </c>
      <c r="AF15" s="33">
        <v>1421</v>
      </c>
      <c r="AG15" s="33">
        <v>1521</v>
      </c>
      <c r="AH15" s="33">
        <v>1474</v>
      </c>
      <c r="AI15">
        <v>1.7</v>
      </c>
    </row>
    <row r="16" spans="1:36" x14ac:dyDescent="0.3">
      <c r="A16" s="64">
        <f t="shared" ref="A16:N16" si="14">A93/1000</f>
        <v>6.0000000000000001E-3</v>
      </c>
      <c r="B16" s="64">
        <f t="shared" si="14"/>
        <v>1E-3</v>
      </c>
      <c r="C16" s="64">
        <f t="shared" si="14"/>
        <v>5.9740000000000001E-3</v>
      </c>
      <c r="D16" s="64">
        <f t="shared" si="14"/>
        <v>5.7939999999999997E-3</v>
      </c>
      <c r="E16" s="64">
        <f t="shared" si="14"/>
        <v>5.3239999999999997E-3</v>
      </c>
      <c r="F16" s="64">
        <f t="shared" si="14"/>
        <v>5.2119999999999996E-3</v>
      </c>
      <c r="G16" s="64">
        <f t="shared" si="14"/>
        <v>4.7469999999999995E-3</v>
      </c>
      <c r="H16" s="64">
        <f t="shared" si="14"/>
        <v>4.5960000000000003E-3</v>
      </c>
      <c r="I16" s="64">
        <f t="shared" si="14"/>
        <v>5.3499999999999997E-3</v>
      </c>
      <c r="J16" s="64">
        <f t="shared" si="14"/>
        <v>5.4999999999999997E-3</v>
      </c>
      <c r="K16" s="64">
        <f t="shared" si="14"/>
        <v>4.9169999999999995E-3</v>
      </c>
      <c r="L16" s="64">
        <f t="shared" si="14"/>
        <v>5.1529999999999996E-3</v>
      </c>
      <c r="M16" s="64">
        <f t="shared" si="14"/>
        <v>1.789E-2</v>
      </c>
      <c r="N16" s="64">
        <f t="shared" si="14"/>
        <v>2.01E-2</v>
      </c>
      <c r="T16">
        <v>2</v>
      </c>
      <c r="V16">
        <v>0.4</v>
      </c>
      <c r="W16" s="33">
        <v>1981</v>
      </c>
      <c r="Y16" s="33">
        <v>1886</v>
      </c>
      <c r="Z16" s="33">
        <v>1721</v>
      </c>
      <c r="AA16" s="33">
        <v>1654</v>
      </c>
      <c r="AB16" s="33">
        <v>1490</v>
      </c>
      <c r="AC16" s="33">
        <v>1407</v>
      </c>
      <c r="AD16" s="33">
        <v>1740</v>
      </c>
      <c r="AE16" s="33">
        <v>1830</v>
      </c>
      <c r="AF16" s="33">
        <v>1567</v>
      </c>
      <c r="AG16" s="33">
        <v>1679</v>
      </c>
      <c r="AH16" s="33">
        <v>1788</v>
      </c>
      <c r="AI16">
        <v>2.0699999999999998</v>
      </c>
    </row>
    <row r="17" spans="1:35" x14ac:dyDescent="0.3">
      <c r="A17" s="64">
        <f t="shared" ref="A17:N17" si="15">A94/1000</f>
        <v>7.0000000000000001E-3</v>
      </c>
      <c r="B17" s="64">
        <f t="shared" si="15"/>
        <v>1E-3</v>
      </c>
      <c r="C17" s="64">
        <f t="shared" si="15"/>
        <v>6.9740000000000002E-3</v>
      </c>
      <c r="D17" s="64">
        <f t="shared" si="15"/>
        <v>6.7939999999999997E-3</v>
      </c>
      <c r="E17" s="64">
        <f t="shared" si="15"/>
        <v>6.3239999999999998E-3</v>
      </c>
      <c r="F17" s="64">
        <f t="shared" si="15"/>
        <v>6.2119999999999996E-3</v>
      </c>
      <c r="G17" s="64">
        <f t="shared" si="15"/>
        <v>5.7469999999999995E-3</v>
      </c>
      <c r="H17" s="64">
        <f t="shared" si="15"/>
        <v>5.5960000000000003E-3</v>
      </c>
      <c r="I17" s="64">
        <f t="shared" si="15"/>
        <v>6.3499999999999997E-3</v>
      </c>
      <c r="J17" s="64">
        <f t="shared" si="15"/>
        <v>6.4999999999999997E-3</v>
      </c>
      <c r="K17" s="64">
        <f t="shared" si="15"/>
        <v>5.9169999999999995E-3</v>
      </c>
      <c r="L17" s="64">
        <f t="shared" si="15"/>
        <v>6.1529999999999996E-3</v>
      </c>
      <c r="M17" s="64">
        <f t="shared" si="15"/>
        <v>2.6179999999999998E-2</v>
      </c>
      <c r="N17" s="64">
        <f t="shared" si="15"/>
        <v>2.8899999999999999E-2</v>
      </c>
      <c r="T17">
        <v>2.2000000000000002</v>
      </c>
      <c r="V17">
        <v>0.45</v>
      </c>
      <c r="W17" s="33">
        <v>2180</v>
      </c>
      <c r="Y17" s="33">
        <v>2080</v>
      </c>
      <c r="Z17" s="33">
        <v>1888</v>
      </c>
      <c r="AA17" s="33">
        <v>1817</v>
      </c>
      <c r="AB17" s="33">
        <v>1628</v>
      </c>
      <c r="AC17" s="33">
        <v>1540</v>
      </c>
      <c r="AD17" s="33">
        <v>1908</v>
      </c>
      <c r="AE17" s="33">
        <v>2003</v>
      </c>
      <c r="AF17" s="33">
        <v>1713</v>
      </c>
      <c r="AG17" s="33">
        <v>1838</v>
      </c>
      <c r="AH17" s="33">
        <v>2133</v>
      </c>
      <c r="AI17">
        <v>2.48</v>
      </c>
    </row>
    <row r="18" spans="1:35" x14ac:dyDescent="0.3">
      <c r="A18" s="64">
        <f t="shared" ref="A18:N18" si="16">A95/1000</f>
        <v>8.0000000000000002E-3</v>
      </c>
      <c r="B18" s="64">
        <f t="shared" si="16"/>
        <v>1.25E-3</v>
      </c>
      <c r="C18" s="64">
        <f t="shared" si="16"/>
        <v>7.9719999999999999E-3</v>
      </c>
      <c r="D18" s="64">
        <f t="shared" si="16"/>
        <v>7.7599999999999995E-3</v>
      </c>
      <c r="E18" s="64">
        <f t="shared" si="16"/>
        <v>7.1600000000000006E-3</v>
      </c>
      <c r="F18" s="64">
        <f t="shared" si="16"/>
        <v>7.0419999999999996E-3</v>
      </c>
      <c r="G18" s="64">
        <f t="shared" si="16"/>
        <v>6.4380000000000001E-3</v>
      </c>
      <c r="H18" s="64">
        <f t="shared" si="16"/>
        <v>6.2720000000000007E-3</v>
      </c>
      <c r="I18" s="64">
        <f t="shared" si="16"/>
        <v>7.1879999999999999E-3</v>
      </c>
      <c r="J18" s="64">
        <f t="shared" si="16"/>
        <v>7.3479999999999995E-3</v>
      </c>
      <c r="K18" s="64">
        <f t="shared" si="16"/>
        <v>6.6470000000000001E-3</v>
      </c>
      <c r="L18" s="64">
        <f t="shared" si="16"/>
        <v>6.9119999999999997E-3</v>
      </c>
      <c r="M18" s="64">
        <f t="shared" si="16"/>
        <v>3.2840000000000001E-2</v>
      </c>
      <c r="N18" s="64">
        <f t="shared" si="16"/>
        <v>3.6600000000000001E-2</v>
      </c>
      <c r="T18">
        <v>2.5</v>
      </c>
      <c r="V18">
        <v>0.45</v>
      </c>
      <c r="W18" s="33">
        <v>2480</v>
      </c>
      <c r="Y18" s="33">
        <v>2380</v>
      </c>
      <c r="Z18" s="33">
        <v>2188</v>
      </c>
      <c r="AA18" s="33">
        <v>2117</v>
      </c>
      <c r="AB18" s="33">
        <v>1928</v>
      </c>
      <c r="AC18" s="33">
        <v>1840</v>
      </c>
      <c r="AD18" s="33">
        <v>2208</v>
      </c>
      <c r="AE18" s="33">
        <v>2303</v>
      </c>
      <c r="AF18" s="33">
        <v>2013</v>
      </c>
      <c r="AG18" s="33">
        <v>2138</v>
      </c>
      <c r="AH18" s="33">
        <v>2980</v>
      </c>
      <c r="AI18">
        <v>3.39</v>
      </c>
    </row>
    <row r="19" spans="1:35" x14ac:dyDescent="0.3">
      <c r="A19" s="64">
        <f t="shared" ref="A19:N19" si="17">A96/1000</f>
        <v>8.9999999999999993E-3</v>
      </c>
      <c r="B19" s="64">
        <f t="shared" si="17"/>
        <v>1.25E-3</v>
      </c>
      <c r="C19" s="64">
        <f t="shared" si="17"/>
        <v>8.9719999999999991E-3</v>
      </c>
      <c r="D19" s="64">
        <f t="shared" si="17"/>
        <v>8.7600000000000004E-3</v>
      </c>
      <c r="E19" s="64">
        <f t="shared" si="17"/>
        <v>8.1600000000000006E-3</v>
      </c>
      <c r="F19" s="64">
        <f t="shared" si="17"/>
        <v>8.0420000000000005E-3</v>
      </c>
      <c r="G19" s="64">
        <f t="shared" si="17"/>
        <v>7.4379999999999993E-3</v>
      </c>
      <c r="H19" s="64">
        <f t="shared" si="17"/>
        <v>7.2719999999999998E-3</v>
      </c>
      <c r="I19" s="64">
        <f t="shared" si="17"/>
        <v>8.1880000000000008E-3</v>
      </c>
      <c r="J19" s="64">
        <f t="shared" si="17"/>
        <v>8.3480000000000013E-3</v>
      </c>
      <c r="K19" s="64">
        <f t="shared" si="17"/>
        <v>7.6470000000000002E-3</v>
      </c>
      <c r="L19" s="64">
        <f t="shared" si="17"/>
        <v>7.9120000000000006E-3</v>
      </c>
      <c r="M19" s="64">
        <f t="shared" si="17"/>
        <v>4.3779999999999999E-2</v>
      </c>
      <c r="N19" s="64">
        <f t="shared" si="17"/>
        <v>4.8100000000000004E-2</v>
      </c>
      <c r="T19">
        <v>3</v>
      </c>
      <c r="V19">
        <v>0.5</v>
      </c>
      <c r="W19" s="33">
        <v>2980</v>
      </c>
      <c r="Y19" s="33">
        <v>2874</v>
      </c>
      <c r="Z19" s="33">
        <v>2655</v>
      </c>
      <c r="AA19" s="33">
        <v>2580</v>
      </c>
      <c r="AB19" s="33">
        <v>2367</v>
      </c>
      <c r="AC19" s="33">
        <v>2273</v>
      </c>
      <c r="AD19" s="33">
        <v>2675</v>
      </c>
      <c r="AE19" s="33">
        <v>2775</v>
      </c>
      <c r="AF19" s="33">
        <v>2459</v>
      </c>
      <c r="AG19" s="33">
        <v>2599</v>
      </c>
      <c r="AH19" s="33">
        <v>4475</v>
      </c>
      <c r="AI19">
        <v>5.03</v>
      </c>
    </row>
    <row r="20" spans="1:35" x14ac:dyDescent="0.3">
      <c r="A20" s="64">
        <f t="shared" ref="A20:N20" si="18">A97/1000</f>
        <v>0.01</v>
      </c>
      <c r="B20" s="64">
        <f t="shared" si="18"/>
        <v>1.5E-3</v>
      </c>
      <c r="C20" s="64">
        <f t="shared" si="18"/>
        <v>9.9679999999999994E-3</v>
      </c>
      <c r="D20" s="64">
        <f t="shared" si="18"/>
        <v>9.7319999999999993E-3</v>
      </c>
      <c r="E20" s="64">
        <f t="shared" si="18"/>
        <v>8.9940000000000003E-3</v>
      </c>
      <c r="F20" s="64">
        <f t="shared" si="18"/>
        <v>8.8620000000000001E-3</v>
      </c>
      <c r="G20" s="64">
        <f t="shared" si="18"/>
        <v>8.1279999999999998E-3</v>
      </c>
      <c r="H20" s="64">
        <f t="shared" si="18"/>
        <v>7.9379999999999989E-3</v>
      </c>
      <c r="I20" s="64">
        <f t="shared" si="18"/>
        <v>9.0259999999999993E-3</v>
      </c>
      <c r="J20" s="64">
        <f t="shared" si="18"/>
        <v>9.2059999999999989E-3</v>
      </c>
      <c r="K20" s="64">
        <f t="shared" si="18"/>
        <v>8.3759999999999998E-3</v>
      </c>
      <c r="L20" s="64">
        <f t="shared" si="18"/>
        <v>8.6759999999999997E-3</v>
      </c>
      <c r="M20" s="64">
        <f t="shared" si="18"/>
        <v>5.2299999999999999E-2</v>
      </c>
      <c r="N20" s="64">
        <f t="shared" si="18"/>
        <v>5.8000000000000003E-2</v>
      </c>
      <c r="T20">
        <v>3.5</v>
      </c>
      <c r="V20">
        <v>0.6</v>
      </c>
      <c r="W20" s="33">
        <v>3479</v>
      </c>
      <c r="Y20" s="33">
        <v>3354</v>
      </c>
      <c r="Z20" s="33">
        <v>3089</v>
      </c>
      <c r="AA20" s="33">
        <v>3004</v>
      </c>
      <c r="AB20" s="33">
        <v>2743</v>
      </c>
      <c r="AC20" s="33">
        <v>2635</v>
      </c>
      <c r="AD20" s="33">
        <v>3110</v>
      </c>
      <c r="AE20" s="33">
        <v>3222</v>
      </c>
      <c r="AF20" s="33">
        <v>2850</v>
      </c>
      <c r="AG20" s="33">
        <v>3010</v>
      </c>
      <c r="AH20" s="33">
        <v>6000</v>
      </c>
      <c r="AI20">
        <v>6.78</v>
      </c>
    </row>
    <row r="21" spans="1:35" x14ac:dyDescent="0.3">
      <c r="A21" s="64">
        <f t="shared" ref="A21:N21" si="19">A98/1000</f>
        <v>1.0999999999999999E-2</v>
      </c>
      <c r="B21" s="64">
        <f t="shared" si="19"/>
        <v>1.5E-3</v>
      </c>
      <c r="C21" s="64">
        <f t="shared" si="19"/>
        <v>1.0968E-2</v>
      </c>
      <c r="D21" s="64">
        <f t="shared" si="19"/>
        <v>1.0731999999999998E-2</v>
      </c>
      <c r="E21" s="64">
        <f t="shared" si="19"/>
        <v>9.9939999999999994E-3</v>
      </c>
      <c r="F21" s="64">
        <f t="shared" si="19"/>
        <v>9.8619999999999992E-3</v>
      </c>
      <c r="G21" s="64">
        <f t="shared" si="19"/>
        <v>9.1280000000000007E-3</v>
      </c>
      <c r="H21" s="64">
        <f t="shared" si="19"/>
        <v>8.9379999999999998E-3</v>
      </c>
      <c r="I21" s="64">
        <f t="shared" si="19"/>
        <v>1.0026E-2</v>
      </c>
      <c r="J21" s="64">
        <f t="shared" si="19"/>
        <v>1.0206E-2</v>
      </c>
      <c r="K21" s="64">
        <f t="shared" si="19"/>
        <v>9.3759999999999989E-3</v>
      </c>
      <c r="L21" s="64">
        <f t="shared" si="19"/>
        <v>9.6760000000000006E-3</v>
      </c>
      <c r="M21" s="64">
        <f t="shared" si="19"/>
        <v>6.59E-2</v>
      </c>
      <c r="N21" s="64">
        <f t="shared" si="19"/>
        <v>7.2300000000000003E-2</v>
      </c>
      <c r="T21">
        <v>4</v>
      </c>
      <c r="V21">
        <v>0.7</v>
      </c>
      <c r="W21" s="33">
        <v>3978</v>
      </c>
      <c r="Y21" s="33">
        <v>3838</v>
      </c>
      <c r="Z21" s="33">
        <v>3523</v>
      </c>
      <c r="AA21" s="33">
        <v>3433</v>
      </c>
      <c r="AB21" s="33">
        <v>3119</v>
      </c>
      <c r="AC21" s="33">
        <v>3002</v>
      </c>
      <c r="AD21" s="33">
        <v>3545</v>
      </c>
      <c r="AE21" s="33">
        <v>3663</v>
      </c>
      <c r="AF21" s="33">
        <v>3242</v>
      </c>
      <c r="AG21" s="33">
        <v>3422</v>
      </c>
      <c r="AH21" s="33">
        <v>7749</v>
      </c>
      <c r="AI21">
        <v>8.7799999999999994</v>
      </c>
    </row>
    <row r="22" spans="1:35" x14ac:dyDescent="0.3">
      <c r="A22" s="64">
        <f t="shared" ref="A22:N22" si="20">A99/1000</f>
        <v>1.2E-2</v>
      </c>
      <c r="B22" s="64">
        <f t="shared" si="20"/>
        <v>1.75E-3</v>
      </c>
      <c r="C22" s="64">
        <f t="shared" si="20"/>
        <v>1.1965999999999999E-2</v>
      </c>
      <c r="D22" s="64">
        <f t="shared" si="20"/>
        <v>1.1701000000000001E-2</v>
      </c>
      <c r="E22" s="64">
        <f t="shared" si="20"/>
        <v>1.0829E-2</v>
      </c>
      <c r="F22" s="64">
        <f t="shared" si="20"/>
        <v>1.0679000000000001E-2</v>
      </c>
      <c r="G22" s="64">
        <f t="shared" si="20"/>
        <v>9.8190000000000013E-3</v>
      </c>
      <c r="H22" s="64">
        <f t="shared" si="20"/>
        <v>9.6020000000000012E-3</v>
      </c>
      <c r="I22" s="64">
        <f t="shared" si="20"/>
        <v>1.0862999999999999E-2</v>
      </c>
      <c r="J22" s="64">
        <f t="shared" si="20"/>
        <v>1.1063E-2</v>
      </c>
      <c r="K22" s="64">
        <f t="shared" si="20"/>
        <v>1.0106E-2</v>
      </c>
      <c r="L22" s="64">
        <f t="shared" si="20"/>
        <v>1.0441000000000001E-2</v>
      </c>
      <c r="M22" s="64">
        <f t="shared" si="20"/>
        <v>7.6249999999999998E-2</v>
      </c>
      <c r="N22" s="64">
        <f t="shared" si="20"/>
        <v>8.43E-2</v>
      </c>
      <c r="T22">
        <v>4.5</v>
      </c>
      <c r="V22">
        <v>0.75</v>
      </c>
      <c r="W22" s="33">
        <v>4478</v>
      </c>
      <c r="Y22" s="33">
        <v>4338</v>
      </c>
      <c r="Z22" s="33">
        <v>3991</v>
      </c>
      <c r="AA22" s="33">
        <v>3901</v>
      </c>
      <c r="AB22" s="33">
        <v>3558</v>
      </c>
      <c r="AC22" s="33">
        <v>3439</v>
      </c>
      <c r="AD22" s="33">
        <v>4013</v>
      </c>
      <c r="AE22" s="33">
        <v>4131</v>
      </c>
      <c r="AF22" s="33">
        <v>3688</v>
      </c>
      <c r="AG22" s="33">
        <v>3878</v>
      </c>
      <c r="AH22">
        <v>10.07</v>
      </c>
      <c r="AI22">
        <v>11.3</v>
      </c>
    </row>
    <row r="23" spans="1:35" x14ac:dyDescent="0.3">
      <c r="A23" s="64">
        <f t="shared" ref="A23:N23" si="21">A100/1000</f>
        <v>1.4E-2</v>
      </c>
      <c r="B23" s="64">
        <f t="shared" si="21"/>
        <v>2E-3</v>
      </c>
      <c r="C23" s="64">
        <f t="shared" si="21"/>
        <v>1.3962E-2</v>
      </c>
      <c r="D23" s="64">
        <f t="shared" si="21"/>
        <v>1.3682E-2</v>
      </c>
      <c r="E23" s="64">
        <f t="shared" si="21"/>
        <v>1.2663000000000001E-2</v>
      </c>
      <c r="F23" s="64">
        <f t="shared" si="21"/>
        <v>1.2503E-2</v>
      </c>
      <c r="G23" s="64">
        <f t="shared" si="21"/>
        <v>1.1507999999999999E-2</v>
      </c>
      <c r="H23" s="64">
        <f t="shared" si="21"/>
        <v>1.1271000000000002E-2</v>
      </c>
      <c r="I23" s="64">
        <f t="shared" si="21"/>
        <v>1.2701E-2</v>
      </c>
      <c r="J23" s="64">
        <f t="shared" si="21"/>
        <v>1.2913000000000001E-2</v>
      </c>
      <c r="K23" s="64">
        <f t="shared" si="21"/>
        <v>1.1835E-2</v>
      </c>
      <c r="L23" s="64">
        <f t="shared" si="21"/>
        <v>1.221E-2</v>
      </c>
      <c r="M23" s="64">
        <f t="shared" si="21"/>
        <v>0.1047</v>
      </c>
      <c r="N23" s="64">
        <f t="shared" si="21"/>
        <v>0.115</v>
      </c>
      <c r="T23">
        <v>5</v>
      </c>
      <c r="V23">
        <v>0.8</v>
      </c>
      <c r="W23" s="33">
        <v>4976</v>
      </c>
      <c r="Y23" s="33">
        <v>4826</v>
      </c>
      <c r="Z23" s="33">
        <v>4456</v>
      </c>
      <c r="AA23" s="33">
        <v>4361</v>
      </c>
      <c r="AB23" s="33">
        <v>3995</v>
      </c>
      <c r="AC23" s="33">
        <v>3869</v>
      </c>
      <c r="AD23" s="33">
        <v>4480</v>
      </c>
      <c r="AE23" s="33">
        <v>4605</v>
      </c>
      <c r="AF23" s="33">
        <v>4134</v>
      </c>
      <c r="AG23" s="33">
        <v>4334</v>
      </c>
      <c r="AH23">
        <v>12.69</v>
      </c>
      <c r="AI23">
        <v>14.2</v>
      </c>
    </row>
    <row r="24" spans="1:35" x14ac:dyDescent="0.3">
      <c r="A24" s="64">
        <f t="shared" ref="A24:N24" si="22">A101/1000</f>
        <v>1.6E-2</v>
      </c>
      <c r="B24" s="64">
        <f t="shared" si="22"/>
        <v>2E-3</v>
      </c>
      <c r="C24" s="64">
        <f t="shared" si="22"/>
        <v>1.5962E-2</v>
      </c>
      <c r="D24" s="64">
        <f t="shared" si="22"/>
        <v>1.5682000000000001E-2</v>
      </c>
      <c r="E24" s="64">
        <f t="shared" si="22"/>
        <v>1.4663000000000001E-2</v>
      </c>
      <c r="F24" s="64">
        <f t="shared" si="22"/>
        <v>1.4503E-2</v>
      </c>
      <c r="G24" s="64">
        <f t="shared" si="22"/>
        <v>1.3507999999999999E-2</v>
      </c>
      <c r="H24" s="64">
        <f t="shared" si="22"/>
        <v>1.3271000000000002E-2</v>
      </c>
      <c r="I24" s="64">
        <f t="shared" si="22"/>
        <v>1.4701000000000001E-2</v>
      </c>
      <c r="J24" s="64">
        <f t="shared" si="22"/>
        <v>1.4913000000000001E-2</v>
      </c>
      <c r="K24" s="64">
        <f t="shared" si="22"/>
        <v>1.3835E-2</v>
      </c>
      <c r="L24" s="64">
        <f t="shared" si="22"/>
        <v>1.421E-2</v>
      </c>
      <c r="M24" s="64">
        <f t="shared" si="22"/>
        <v>0.14410000000000001</v>
      </c>
      <c r="N24" s="64">
        <f t="shared" si="22"/>
        <v>0.157</v>
      </c>
      <c r="T24">
        <v>6</v>
      </c>
      <c r="V24">
        <v>1</v>
      </c>
      <c r="W24" s="33">
        <v>5974</v>
      </c>
      <c r="Y24" s="33">
        <v>5794</v>
      </c>
      <c r="Z24" s="33">
        <v>5324</v>
      </c>
      <c r="AA24" s="33">
        <v>5212</v>
      </c>
      <c r="AB24" s="33">
        <v>4747</v>
      </c>
      <c r="AC24" s="33">
        <v>4596</v>
      </c>
      <c r="AD24" s="33">
        <v>5350</v>
      </c>
      <c r="AE24" s="33">
        <v>5500</v>
      </c>
      <c r="AF24" s="33">
        <v>4917</v>
      </c>
      <c r="AG24" s="33">
        <v>5153</v>
      </c>
      <c r="AH24">
        <v>17.89</v>
      </c>
      <c r="AI24">
        <v>20.100000000000001</v>
      </c>
    </row>
    <row r="25" spans="1:35" x14ac:dyDescent="0.3">
      <c r="A25" s="64">
        <f t="shared" ref="A25:N25" si="23">A102/1000</f>
        <v>1.7999999999999999E-2</v>
      </c>
      <c r="B25" s="64">
        <f t="shared" si="23"/>
        <v>2.5000000000000001E-3</v>
      </c>
      <c r="C25" s="64">
        <f t="shared" si="23"/>
        <v>1.7957999999999998E-2</v>
      </c>
      <c r="D25" s="64">
        <f t="shared" si="23"/>
        <v>1.7623E-2</v>
      </c>
      <c r="E25" s="64">
        <f t="shared" si="23"/>
        <v>1.6334000000000001E-2</v>
      </c>
      <c r="F25" s="64">
        <f t="shared" si="23"/>
        <v>1.6164000000000001E-2</v>
      </c>
      <c r="G25" s="64">
        <f t="shared" si="23"/>
        <v>1.4891E-2</v>
      </c>
      <c r="H25" s="64">
        <f t="shared" si="23"/>
        <v>1.4625000000000001E-2</v>
      </c>
      <c r="I25" s="64">
        <f t="shared" si="23"/>
        <v>1.6376000000000002E-2</v>
      </c>
      <c r="J25" s="64">
        <f t="shared" si="23"/>
        <v>1.66E-2</v>
      </c>
      <c r="K25" s="64">
        <f t="shared" si="23"/>
        <v>1.5294E-2</v>
      </c>
      <c r="L25" s="64">
        <f t="shared" si="23"/>
        <v>1.5744000000000001E-2</v>
      </c>
      <c r="M25" s="64">
        <f t="shared" si="23"/>
        <v>0.17510000000000001</v>
      </c>
      <c r="N25" s="64">
        <f t="shared" si="23"/>
        <v>0.193</v>
      </c>
      <c r="T25">
        <v>7</v>
      </c>
      <c r="V25">
        <v>1</v>
      </c>
      <c r="W25" s="33">
        <v>6974</v>
      </c>
      <c r="Y25" s="33">
        <v>6794</v>
      </c>
      <c r="Z25" s="33">
        <v>6324</v>
      </c>
      <c r="AA25" s="33">
        <v>6212</v>
      </c>
      <c r="AB25" s="33">
        <v>5747</v>
      </c>
      <c r="AC25" s="33">
        <v>5596</v>
      </c>
      <c r="AD25" s="33">
        <v>6350</v>
      </c>
      <c r="AE25" s="33">
        <v>6500</v>
      </c>
      <c r="AF25" s="33">
        <v>5917</v>
      </c>
      <c r="AG25" s="33">
        <v>6153</v>
      </c>
      <c r="AH25">
        <v>26.18</v>
      </c>
      <c r="AI25">
        <v>28.9</v>
      </c>
    </row>
    <row r="26" spans="1:35" x14ac:dyDescent="0.3">
      <c r="A26" s="64">
        <f t="shared" ref="A26:N26" si="24">A103/1000</f>
        <v>0.02</v>
      </c>
      <c r="B26" s="64">
        <f t="shared" si="24"/>
        <v>2.5000000000000001E-3</v>
      </c>
      <c r="C26" s="64">
        <f t="shared" si="24"/>
        <v>1.9958E-2</v>
      </c>
      <c r="D26" s="64">
        <f t="shared" si="24"/>
        <v>1.9623000000000002E-2</v>
      </c>
      <c r="E26" s="64">
        <f t="shared" si="24"/>
        <v>1.8334E-2</v>
      </c>
      <c r="F26" s="64">
        <f t="shared" si="24"/>
        <v>1.8164000000000003E-2</v>
      </c>
      <c r="G26" s="64">
        <f t="shared" si="24"/>
        <v>1.6891E-2</v>
      </c>
      <c r="H26" s="64">
        <f t="shared" si="24"/>
        <v>1.6625000000000001E-2</v>
      </c>
      <c r="I26" s="64">
        <f t="shared" si="24"/>
        <v>1.8376E-2</v>
      </c>
      <c r="J26" s="64">
        <f t="shared" si="24"/>
        <v>1.8600000000000002E-2</v>
      </c>
      <c r="K26" s="64">
        <f t="shared" si="24"/>
        <v>1.7294E-2</v>
      </c>
      <c r="L26" s="64">
        <f t="shared" si="24"/>
        <v>1.7743999999999999E-2</v>
      </c>
      <c r="M26" s="64">
        <f t="shared" si="24"/>
        <v>0.22519999999999998</v>
      </c>
      <c r="N26" s="64">
        <f t="shared" si="24"/>
        <v>0.245</v>
      </c>
      <c r="T26">
        <v>8</v>
      </c>
      <c r="V26">
        <v>1.25</v>
      </c>
      <c r="W26" s="33">
        <v>7972</v>
      </c>
      <c r="Y26" s="33">
        <v>7760</v>
      </c>
      <c r="Z26" s="33">
        <v>7160</v>
      </c>
      <c r="AA26" s="33">
        <v>7042</v>
      </c>
      <c r="AB26" s="33">
        <v>6438</v>
      </c>
      <c r="AC26" s="33">
        <v>6272</v>
      </c>
      <c r="AD26" s="33">
        <v>7188</v>
      </c>
      <c r="AE26" s="33">
        <v>7348</v>
      </c>
      <c r="AF26" s="33">
        <v>6647</v>
      </c>
      <c r="AG26" s="33">
        <v>6912</v>
      </c>
      <c r="AH26">
        <v>32.840000000000003</v>
      </c>
      <c r="AI26">
        <v>36.6</v>
      </c>
    </row>
    <row r="27" spans="1:35" ht="57.6" x14ac:dyDescent="0.3">
      <c r="M27" s="43" t="s">
        <v>292</v>
      </c>
      <c r="N27" s="44" t="s">
        <v>293</v>
      </c>
      <c r="T27">
        <v>9</v>
      </c>
      <c r="V27">
        <v>1.25</v>
      </c>
      <c r="W27" s="33">
        <v>8972</v>
      </c>
      <c r="Y27" s="33">
        <v>8760</v>
      </c>
      <c r="Z27" s="33">
        <v>8160</v>
      </c>
      <c r="AA27" s="33">
        <v>8042</v>
      </c>
      <c r="AB27" s="33">
        <v>7438</v>
      </c>
      <c r="AC27" s="33">
        <v>7272</v>
      </c>
      <c r="AD27" s="33">
        <v>8188</v>
      </c>
      <c r="AE27" s="33">
        <v>8348</v>
      </c>
      <c r="AF27" s="33">
        <v>7647</v>
      </c>
      <c r="AG27" s="33">
        <v>7912</v>
      </c>
      <c r="AH27">
        <v>43.78</v>
      </c>
      <c r="AI27">
        <v>48.1</v>
      </c>
    </row>
    <row r="28" spans="1:35" x14ac:dyDescent="0.3">
      <c r="T28">
        <v>10</v>
      </c>
      <c r="V28">
        <v>1.5</v>
      </c>
      <c r="W28" s="33">
        <v>9968</v>
      </c>
      <c r="Y28" s="33">
        <v>9732</v>
      </c>
      <c r="Z28" s="33">
        <v>8994</v>
      </c>
      <c r="AA28" s="33">
        <v>8862</v>
      </c>
      <c r="AB28" s="33">
        <v>8128</v>
      </c>
      <c r="AC28" s="33">
        <v>7938</v>
      </c>
      <c r="AD28" s="33">
        <v>9026</v>
      </c>
      <c r="AE28" s="33">
        <v>9206</v>
      </c>
      <c r="AF28" s="33">
        <v>8376</v>
      </c>
      <c r="AG28" s="33">
        <v>8676</v>
      </c>
      <c r="AH28">
        <v>52.3</v>
      </c>
      <c r="AI28">
        <v>58</v>
      </c>
    </row>
    <row r="29" spans="1:35" x14ac:dyDescent="0.3">
      <c r="T29">
        <v>11</v>
      </c>
      <c r="V29">
        <v>1.5</v>
      </c>
      <c r="W29" s="33">
        <v>10968</v>
      </c>
      <c r="Y29" s="33">
        <v>10732</v>
      </c>
      <c r="Z29" s="33">
        <v>9994</v>
      </c>
      <c r="AA29" s="33">
        <v>9862</v>
      </c>
      <c r="AB29" s="33">
        <v>9128</v>
      </c>
      <c r="AC29" s="33">
        <v>8938</v>
      </c>
      <c r="AD29" s="33">
        <v>10026</v>
      </c>
      <c r="AE29" s="33">
        <v>10206</v>
      </c>
      <c r="AF29" s="33">
        <v>9376</v>
      </c>
      <c r="AG29" s="33">
        <v>9676</v>
      </c>
      <c r="AH29">
        <v>65.900000000000006</v>
      </c>
      <c r="AI29">
        <v>72.3</v>
      </c>
    </row>
    <row r="30" spans="1:35" x14ac:dyDescent="0.3">
      <c r="T30">
        <v>12</v>
      </c>
      <c r="V30">
        <v>1.75</v>
      </c>
      <c r="W30" s="33">
        <v>11966</v>
      </c>
      <c r="Y30" s="33">
        <v>11701</v>
      </c>
      <c r="Z30" s="33">
        <v>10829</v>
      </c>
      <c r="AA30" s="33">
        <v>10679</v>
      </c>
      <c r="AB30" s="33">
        <v>9819</v>
      </c>
      <c r="AC30" s="33">
        <v>9602</v>
      </c>
      <c r="AD30" s="33">
        <v>10863</v>
      </c>
      <c r="AE30" s="33">
        <v>11063</v>
      </c>
      <c r="AF30" s="33">
        <v>10106</v>
      </c>
      <c r="AG30" s="33">
        <v>10441</v>
      </c>
      <c r="AH30">
        <v>76.25</v>
      </c>
      <c r="AI30">
        <v>84.3</v>
      </c>
    </row>
    <row r="31" spans="1:35" x14ac:dyDescent="0.3">
      <c r="T31">
        <v>14</v>
      </c>
      <c r="V31">
        <v>2</v>
      </c>
      <c r="W31" s="33">
        <v>13962</v>
      </c>
      <c r="Y31" s="33">
        <v>13682</v>
      </c>
      <c r="Z31" s="33">
        <v>12663</v>
      </c>
      <c r="AA31" s="33">
        <v>12503</v>
      </c>
      <c r="AB31" s="33">
        <v>11508</v>
      </c>
      <c r="AC31" s="33">
        <v>11271</v>
      </c>
      <c r="AD31" s="33">
        <v>12701</v>
      </c>
      <c r="AE31" s="33">
        <v>12913</v>
      </c>
      <c r="AF31" s="33">
        <v>11835</v>
      </c>
      <c r="AG31" s="33">
        <v>12210</v>
      </c>
      <c r="AH31">
        <v>104.7</v>
      </c>
      <c r="AI31">
        <v>115</v>
      </c>
    </row>
    <row r="32" spans="1:35" x14ac:dyDescent="0.3">
      <c r="T32">
        <v>16</v>
      </c>
      <c r="V32">
        <v>2</v>
      </c>
      <c r="W32" s="33">
        <v>15962</v>
      </c>
      <c r="Y32" s="33">
        <v>15682</v>
      </c>
      <c r="Z32" s="33">
        <v>14663</v>
      </c>
      <c r="AA32" s="33">
        <v>14503</v>
      </c>
      <c r="AB32" s="33">
        <v>13508</v>
      </c>
      <c r="AC32" s="33">
        <v>13271</v>
      </c>
      <c r="AD32" s="33">
        <v>14701</v>
      </c>
      <c r="AE32" s="33">
        <v>14913</v>
      </c>
      <c r="AF32" s="33">
        <v>13835</v>
      </c>
      <c r="AG32" s="33">
        <v>14210</v>
      </c>
      <c r="AH32">
        <v>144.1</v>
      </c>
      <c r="AI32">
        <v>157</v>
      </c>
    </row>
    <row r="33" spans="20:35" x14ac:dyDescent="0.3">
      <c r="T33">
        <v>18</v>
      </c>
      <c r="V33">
        <v>2.5</v>
      </c>
      <c r="W33" s="33">
        <v>17958</v>
      </c>
      <c r="Y33" s="33">
        <v>17623</v>
      </c>
      <c r="Z33" s="33">
        <v>16334</v>
      </c>
      <c r="AA33" s="33">
        <v>16164</v>
      </c>
      <c r="AB33" s="33">
        <v>14891</v>
      </c>
      <c r="AC33" s="33">
        <v>14625</v>
      </c>
      <c r="AD33" s="33">
        <v>16376</v>
      </c>
      <c r="AE33" s="33">
        <v>16600</v>
      </c>
      <c r="AF33" s="33">
        <v>15294</v>
      </c>
      <c r="AG33" s="33">
        <v>15744</v>
      </c>
      <c r="AH33">
        <v>175.1</v>
      </c>
      <c r="AI33">
        <v>193</v>
      </c>
    </row>
    <row r="34" spans="20:35" x14ac:dyDescent="0.3">
      <c r="T34">
        <v>20</v>
      </c>
      <c r="V34">
        <v>2.5</v>
      </c>
      <c r="W34" s="33">
        <v>19958</v>
      </c>
      <c r="Y34" s="33">
        <v>19623</v>
      </c>
      <c r="Z34" s="33">
        <v>18334</v>
      </c>
      <c r="AA34" s="33">
        <v>18164</v>
      </c>
      <c r="AB34" s="33">
        <v>16891</v>
      </c>
      <c r="AC34" s="33">
        <v>16625</v>
      </c>
      <c r="AD34" s="33">
        <v>18376</v>
      </c>
      <c r="AE34" s="33">
        <v>18600</v>
      </c>
      <c r="AF34" s="33">
        <v>17294</v>
      </c>
      <c r="AG34" s="33">
        <v>17744</v>
      </c>
      <c r="AH34">
        <v>225.2</v>
      </c>
      <c r="AI34">
        <v>245</v>
      </c>
    </row>
    <row r="78" spans="1:14" x14ac:dyDescent="0.3">
      <c r="A78" s="38" t="s">
        <v>306</v>
      </c>
      <c r="B78" s="45" t="s">
        <v>263</v>
      </c>
      <c r="C78" s="39" t="s">
        <v>285</v>
      </c>
      <c r="D78" s="39" t="s">
        <v>275</v>
      </c>
      <c r="E78" s="40" t="s">
        <v>286</v>
      </c>
      <c r="F78" s="40" t="s">
        <v>277</v>
      </c>
      <c r="G78" s="39" t="s">
        <v>287</v>
      </c>
      <c r="H78" s="39" t="s">
        <v>279</v>
      </c>
      <c r="I78" s="41" t="s">
        <v>288</v>
      </c>
      <c r="J78" s="41" t="s">
        <v>289</v>
      </c>
      <c r="K78" s="42" t="s">
        <v>290</v>
      </c>
      <c r="L78" s="42" t="s">
        <v>291</v>
      </c>
      <c r="M78" s="43" t="s">
        <v>307</v>
      </c>
      <c r="N78" s="44" t="s">
        <v>15</v>
      </c>
    </row>
    <row r="79" spans="1:14" x14ac:dyDescent="0.3">
      <c r="A79" s="46">
        <v>1</v>
      </c>
      <c r="B79" s="22">
        <v>0.25</v>
      </c>
      <c r="C79" s="35">
        <v>1</v>
      </c>
      <c r="D79" s="35">
        <v>0.93300000000000005</v>
      </c>
      <c r="E79" s="34">
        <v>0.83799999999999997</v>
      </c>
      <c r="F79" s="34">
        <v>0.78500000000000003</v>
      </c>
      <c r="G79" s="35">
        <v>0.69299999999999995</v>
      </c>
      <c r="H79" s="35">
        <v>0.63</v>
      </c>
      <c r="I79" s="36">
        <v>0.83799999999999997</v>
      </c>
      <c r="J79" s="36">
        <v>0.89400000000000002</v>
      </c>
      <c r="K79" s="37">
        <v>0.72899999999999998</v>
      </c>
      <c r="L79" s="37">
        <v>0.78500000000000003</v>
      </c>
      <c r="M79" s="47">
        <v>0.377</v>
      </c>
      <c r="N79" s="47">
        <v>0.46</v>
      </c>
    </row>
    <row r="80" spans="1:14" x14ac:dyDescent="0.3">
      <c r="A80" s="46">
        <v>1.1000000000000001</v>
      </c>
      <c r="B80" s="22">
        <v>0.25</v>
      </c>
      <c r="C80" s="35">
        <v>1.1000000000000001</v>
      </c>
      <c r="D80" s="35">
        <v>1.0329999999999999</v>
      </c>
      <c r="E80" s="34">
        <v>0.93799999999999994</v>
      </c>
      <c r="F80" s="34">
        <v>0.88500000000000001</v>
      </c>
      <c r="G80" s="35">
        <v>0.79300000000000004</v>
      </c>
      <c r="H80" s="35">
        <v>0.73</v>
      </c>
      <c r="I80" s="36">
        <v>0.93799999999999994</v>
      </c>
      <c r="J80" s="36">
        <v>0.99399999999999999</v>
      </c>
      <c r="K80" s="37">
        <v>0.82899999999999996</v>
      </c>
      <c r="L80" s="37">
        <v>0.88500000000000001</v>
      </c>
      <c r="M80" s="47">
        <v>0.49399999999999999</v>
      </c>
      <c r="N80" s="47">
        <v>0.58799999999999997</v>
      </c>
    </row>
    <row r="81" spans="1:19" x14ac:dyDescent="0.3">
      <c r="A81" s="46">
        <v>1.2</v>
      </c>
      <c r="B81" s="22">
        <v>0.25</v>
      </c>
      <c r="C81" s="35">
        <v>1.2</v>
      </c>
      <c r="D81" s="35">
        <v>1.133</v>
      </c>
      <c r="E81" s="34">
        <v>1.038</v>
      </c>
      <c r="F81" s="34">
        <v>0.98499999999999999</v>
      </c>
      <c r="G81" s="35">
        <v>0.89300000000000002</v>
      </c>
      <c r="H81" s="35">
        <v>0.83</v>
      </c>
      <c r="I81" s="36">
        <v>1.038</v>
      </c>
      <c r="J81" s="36">
        <v>1.0940000000000001</v>
      </c>
      <c r="K81" s="37">
        <v>0.92900000000000005</v>
      </c>
      <c r="L81" s="37">
        <v>0.98499999999999999</v>
      </c>
      <c r="M81" s="47">
        <v>0.626</v>
      </c>
      <c r="N81" s="47">
        <v>0.73199999999999998</v>
      </c>
    </row>
    <row r="82" spans="1:19" x14ac:dyDescent="0.3">
      <c r="A82" s="46">
        <v>1.4</v>
      </c>
      <c r="B82" s="22">
        <v>0.3</v>
      </c>
      <c r="C82" s="35">
        <v>1.4</v>
      </c>
      <c r="D82" s="35">
        <v>1.325</v>
      </c>
      <c r="E82" s="34">
        <v>1.2050000000000001</v>
      </c>
      <c r="F82" s="34">
        <v>1.149</v>
      </c>
      <c r="G82" s="35">
        <v>1.032</v>
      </c>
      <c r="H82" s="35">
        <v>0.96399999999999997</v>
      </c>
      <c r="I82" s="36">
        <v>1.2050000000000001</v>
      </c>
      <c r="J82" s="36">
        <v>1.2649999999999999</v>
      </c>
      <c r="K82" s="37">
        <v>1.075</v>
      </c>
      <c r="L82" s="37">
        <v>1.1419999999999999</v>
      </c>
      <c r="M82" s="47">
        <v>0.83699999999999997</v>
      </c>
      <c r="N82" s="47">
        <v>0.98299999999999998</v>
      </c>
    </row>
    <row r="83" spans="1:19" x14ac:dyDescent="0.3">
      <c r="A83">
        <v>1.6</v>
      </c>
      <c r="B83" s="22">
        <v>0.35</v>
      </c>
      <c r="C83" s="35">
        <v>1.581</v>
      </c>
      <c r="D83" s="35">
        <v>1.496</v>
      </c>
      <c r="E83" s="34">
        <v>1.3540000000000001</v>
      </c>
      <c r="F83" s="34">
        <v>1.2909999999999999</v>
      </c>
      <c r="G83" s="35">
        <v>1.1519999999999999</v>
      </c>
      <c r="H83" s="35">
        <v>1.075</v>
      </c>
      <c r="I83" s="36">
        <v>1.373</v>
      </c>
      <c r="J83" s="36">
        <v>1.458</v>
      </c>
      <c r="K83" s="37">
        <v>1.2210000000000001</v>
      </c>
      <c r="L83" s="37">
        <v>1.321</v>
      </c>
      <c r="M83" s="47">
        <v>1.075</v>
      </c>
      <c r="N83" s="47">
        <v>1.27</v>
      </c>
    </row>
    <row r="84" spans="1:19" x14ac:dyDescent="0.3">
      <c r="A84">
        <v>1.8</v>
      </c>
      <c r="B84" s="22">
        <v>0.35</v>
      </c>
      <c r="C84" s="35">
        <v>1.7809999999999999</v>
      </c>
      <c r="D84" s="35">
        <v>1.696</v>
      </c>
      <c r="E84" s="34">
        <v>1.554</v>
      </c>
      <c r="F84" s="34">
        <v>1.4910000000000001</v>
      </c>
      <c r="G84" s="35">
        <v>1.3520000000000001</v>
      </c>
      <c r="H84" s="35">
        <v>1.2749999999999999</v>
      </c>
      <c r="I84" s="36">
        <v>1.573</v>
      </c>
      <c r="J84" s="36">
        <v>1.6579999999999999</v>
      </c>
      <c r="K84" s="37">
        <v>1.421</v>
      </c>
      <c r="L84" s="37">
        <v>1.5209999999999999</v>
      </c>
      <c r="M84" s="47">
        <v>1.474</v>
      </c>
      <c r="N84" s="47">
        <v>1.7</v>
      </c>
    </row>
    <row r="85" spans="1:19" x14ac:dyDescent="0.3">
      <c r="A85">
        <v>2</v>
      </c>
      <c r="B85" s="22">
        <v>0.4</v>
      </c>
      <c r="C85" s="35">
        <v>1.9810000000000001</v>
      </c>
      <c r="D85" s="35">
        <v>1.8859999999999999</v>
      </c>
      <c r="E85" s="34">
        <v>1.7210000000000001</v>
      </c>
      <c r="F85" s="34">
        <v>1.6539999999999999</v>
      </c>
      <c r="G85" s="35">
        <v>1.49</v>
      </c>
      <c r="H85" s="35">
        <v>1.407</v>
      </c>
      <c r="I85" s="36">
        <v>1.74</v>
      </c>
      <c r="J85" s="36">
        <v>1.83</v>
      </c>
      <c r="K85" s="37">
        <v>1.5669999999999999</v>
      </c>
      <c r="L85" s="37">
        <v>1.679</v>
      </c>
      <c r="M85" s="47">
        <v>1.788</v>
      </c>
      <c r="N85" s="47">
        <v>2.0699999999999998</v>
      </c>
    </row>
    <row r="86" spans="1:19" x14ac:dyDescent="0.3">
      <c r="A86">
        <v>2.2000000000000002</v>
      </c>
      <c r="B86" s="22">
        <v>0.45</v>
      </c>
      <c r="C86" s="35">
        <v>2.1800000000000002</v>
      </c>
      <c r="D86" s="35">
        <v>2.08</v>
      </c>
      <c r="E86" s="34">
        <v>1.8879999999999999</v>
      </c>
      <c r="F86" s="34">
        <v>1.8169999999999999</v>
      </c>
      <c r="G86" s="35">
        <v>1.6279999999999999</v>
      </c>
      <c r="H86" s="35">
        <v>1.54</v>
      </c>
      <c r="I86" s="36">
        <v>1.9079999999999999</v>
      </c>
      <c r="J86" s="36">
        <v>2.0030000000000001</v>
      </c>
      <c r="K86" s="37">
        <v>1.7130000000000001</v>
      </c>
      <c r="L86" s="37">
        <v>1.8380000000000001</v>
      </c>
      <c r="M86" s="47">
        <v>2.133</v>
      </c>
      <c r="N86" s="47">
        <v>2.48</v>
      </c>
    </row>
    <row r="87" spans="1:19" x14ac:dyDescent="0.3">
      <c r="A87">
        <v>2.5</v>
      </c>
      <c r="B87" s="22">
        <v>0.45</v>
      </c>
      <c r="C87" s="35">
        <v>2.48</v>
      </c>
      <c r="D87" s="35">
        <v>2.38</v>
      </c>
      <c r="E87" s="34">
        <v>2.1880000000000002</v>
      </c>
      <c r="F87" s="34">
        <v>2.117</v>
      </c>
      <c r="G87" s="35">
        <v>1.9279999999999999</v>
      </c>
      <c r="H87" s="35">
        <v>1.84</v>
      </c>
      <c r="I87" s="36">
        <v>2.2080000000000002</v>
      </c>
      <c r="J87" s="36">
        <v>2.3029999999999999</v>
      </c>
      <c r="K87" s="37">
        <v>2.0129999999999999</v>
      </c>
      <c r="L87" s="37">
        <v>2.1379999999999999</v>
      </c>
      <c r="M87" s="47">
        <v>2.98</v>
      </c>
      <c r="N87" s="47">
        <v>3.39</v>
      </c>
    </row>
    <row r="88" spans="1:19" x14ac:dyDescent="0.3">
      <c r="A88">
        <v>3</v>
      </c>
      <c r="B88" s="22">
        <v>0.5</v>
      </c>
      <c r="C88" s="35">
        <v>2.98</v>
      </c>
      <c r="D88" s="35">
        <v>2.8740000000000001</v>
      </c>
      <c r="E88" s="34">
        <v>2.6549999999999998</v>
      </c>
      <c r="F88" s="34">
        <v>2.58</v>
      </c>
      <c r="G88" s="35">
        <v>2.367</v>
      </c>
      <c r="H88" s="35">
        <v>2.2730000000000001</v>
      </c>
      <c r="I88" s="36">
        <v>2.6749999999999998</v>
      </c>
      <c r="J88" s="36">
        <v>2.7749999999999999</v>
      </c>
      <c r="K88" s="37">
        <v>2.4590000000000001</v>
      </c>
      <c r="L88" s="37">
        <v>2.5990000000000002</v>
      </c>
      <c r="M88" s="47">
        <v>4.4749999999999996</v>
      </c>
      <c r="N88" s="47">
        <v>5.03</v>
      </c>
    </row>
    <row r="89" spans="1:19" x14ac:dyDescent="0.3">
      <c r="A89">
        <v>3.5</v>
      </c>
      <c r="B89" s="22">
        <v>0.6</v>
      </c>
      <c r="C89" s="35">
        <v>3.4790000000000001</v>
      </c>
      <c r="D89" s="35">
        <v>3.3540000000000001</v>
      </c>
      <c r="E89" s="34">
        <v>3.089</v>
      </c>
      <c r="F89" s="34">
        <v>3.004</v>
      </c>
      <c r="G89" s="35">
        <v>2.7429999999999999</v>
      </c>
      <c r="H89" s="35">
        <v>2.6349999999999998</v>
      </c>
      <c r="I89" s="36">
        <v>3.11</v>
      </c>
      <c r="J89" s="36">
        <v>3.222</v>
      </c>
      <c r="K89" s="37">
        <v>2.85</v>
      </c>
      <c r="L89" s="37">
        <v>3.01</v>
      </c>
      <c r="M89" s="47">
        <v>6</v>
      </c>
      <c r="N89" s="47">
        <v>6.78</v>
      </c>
    </row>
    <row r="90" spans="1:19" x14ac:dyDescent="0.3">
      <c r="A90">
        <v>4</v>
      </c>
      <c r="B90" s="22">
        <v>0.7</v>
      </c>
      <c r="C90" s="35">
        <v>3.9780000000000002</v>
      </c>
      <c r="D90" s="35">
        <v>3.8380000000000001</v>
      </c>
      <c r="E90" s="34">
        <v>3.5230000000000001</v>
      </c>
      <c r="F90" s="34">
        <v>3.4329999999999998</v>
      </c>
      <c r="G90" s="35">
        <v>3.1190000000000002</v>
      </c>
      <c r="H90" s="35">
        <v>3.0019999999999998</v>
      </c>
      <c r="I90" s="36">
        <v>3.5449999999999999</v>
      </c>
      <c r="J90" s="36">
        <v>3.6629999999999998</v>
      </c>
      <c r="K90" s="37">
        <v>3.242</v>
      </c>
      <c r="L90" s="37">
        <v>3.4220000000000002</v>
      </c>
      <c r="M90" s="47">
        <v>7.7489999999999997</v>
      </c>
      <c r="N90" s="47">
        <v>8.7799999999999994</v>
      </c>
      <c r="O90">
        <f>PI()*G90^2/4</f>
        <v>7.6404797826346851</v>
      </c>
      <c r="P90">
        <f>PI()/4 * ((E90+G90)/ 2)^2</f>
        <v>8.662188545435157</v>
      </c>
      <c r="R90">
        <f>G90/2</f>
        <v>1.5595000000000001</v>
      </c>
      <c r="S90">
        <f>H90/2</f>
        <v>1.5009999999999999</v>
      </c>
    </row>
    <row r="91" spans="1:19" x14ac:dyDescent="0.3">
      <c r="A91">
        <v>4.5</v>
      </c>
      <c r="B91" s="22">
        <v>0.75</v>
      </c>
      <c r="C91" s="35">
        <v>4.4779999999999998</v>
      </c>
      <c r="D91" s="35">
        <v>4.3380000000000001</v>
      </c>
      <c r="E91" s="34">
        <v>3.9910000000000001</v>
      </c>
      <c r="F91" s="34">
        <v>3.9009999999999998</v>
      </c>
      <c r="G91" s="35">
        <v>3.5579999999999998</v>
      </c>
      <c r="H91" s="35">
        <v>3.4390000000000001</v>
      </c>
      <c r="I91" s="36">
        <v>4.0129999999999999</v>
      </c>
      <c r="J91" s="36">
        <v>4.1310000000000002</v>
      </c>
      <c r="K91" s="37">
        <v>3.6880000000000002</v>
      </c>
      <c r="L91" s="37">
        <v>3.8780000000000001</v>
      </c>
      <c r="M91" s="47">
        <v>10.07</v>
      </c>
      <c r="N91" s="47">
        <v>11.3</v>
      </c>
    </row>
    <row r="92" spans="1:19" x14ac:dyDescent="0.3">
      <c r="A92">
        <v>5</v>
      </c>
      <c r="B92" s="22">
        <v>0.8</v>
      </c>
      <c r="C92" s="35">
        <v>4.976</v>
      </c>
      <c r="D92" s="35">
        <v>4.8259999999999996</v>
      </c>
      <c r="E92" s="34">
        <v>4.4560000000000004</v>
      </c>
      <c r="F92" s="34">
        <v>4.3609999999999998</v>
      </c>
      <c r="G92" s="35">
        <v>3.9950000000000001</v>
      </c>
      <c r="H92" s="35">
        <v>3.8690000000000002</v>
      </c>
      <c r="I92" s="36">
        <v>4.4800000000000004</v>
      </c>
      <c r="J92" s="36">
        <v>4.6050000000000004</v>
      </c>
      <c r="K92" s="37">
        <v>4.1340000000000003</v>
      </c>
      <c r="L92" s="37">
        <v>4.3339999999999996</v>
      </c>
      <c r="M92" s="47">
        <v>12.69</v>
      </c>
      <c r="N92" s="47">
        <v>14.2</v>
      </c>
    </row>
    <row r="93" spans="1:19" x14ac:dyDescent="0.3">
      <c r="A93">
        <v>6</v>
      </c>
      <c r="B93" s="22">
        <v>1</v>
      </c>
      <c r="C93" s="35">
        <v>5.9740000000000002</v>
      </c>
      <c r="D93" s="35">
        <v>5.7939999999999996</v>
      </c>
      <c r="E93" s="34">
        <v>5.3239999999999998</v>
      </c>
      <c r="F93" s="34">
        <v>5.2119999999999997</v>
      </c>
      <c r="G93" s="35">
        <v>4.7469999999999999</v>
      </c>
      <c r="H93" s="35">
        <v>4.5960000000000001</v>
      </c>
      <c r="I93" s="36">
        <v>5.35</v>
      </c>
      <c r="J93" s="36">
        <v>5.5</v>
      </c>
      <c r="K93" s="37">
        <v>4.9169999999999998</v>
      </c>
      <c r="L93" s="37">
        <v>5.1529999999999996</v>
      </c>
      <c r="M93" s="47">
        <v>17.89</v>
      </c>
      <c r="N93" s="47">
        <v>20.100000000000001</v>
      </c>
    </row>
    <row r="94" spans="1:19" x14ac:dyDescent="0.3">
      <c r="A94">
        <v>7</v>
      </c>
      <c r="B94" s="22">
        <v>1</v>
      </c>
      <c r="C94" s="35">
        <v>6.9740000000000002</v>
      </c>
      <c r="D94" s="35">
        <v>6.7939999999999996</v>
      </c>
      <c r="E94" s="34">
        <v>6.3239999999999998</v>
      </c>
      <c r="F94" s="34">
        <v>6.2119999999999997</v>
      </c>
      <c r="G94" s="35">
        <v>5.7469999999999999</v>
      </c>
      <c r="H94" s="35">
        <v>5.5960000000000001</v>
      </c>
      <c r="I94" s="36">
        <v>6.35</v>
      </c>
      <c r="J94" s="36">
        <v>6.5</v>
      </c>
      <c r="K94" s="37">
        <v>5.9169999999999998</v>
      </c>
      <c r="L94" s="37">
        <v>6.1529999999999996</v>
      </c>
      <c r="M94" s="47">
        <v>26.18</v>
      </c>
      <c r="N94" s="47">
        <v>28.9</v>
      </c>
    </row>
    <row r="95" spans="1:19" x14ac:dyDescent="0.3">
      <c r="A95">
        <v>8</v>
      </c>
      <c r="B95" s="22">
        <v>1.25</v>
      </c>
      <c r="C95" s="35">
        <v>7.9720000000000004</v>
      </c>
      <c r="D95" s="35">
        <v>7.76</v>
      </c>
      <c r="E95" s="34">
        <v>7.16</v>
      </c>
      <c r="F95" s="34">
        <v>7.0419999999999998</v>
      </c>
      <c r="G95" s="35">
        <v>6.4379999999999997</v>
      </c>
      <c r="H95" s="35">
        <v>6.2720000000000002</v>
      </c>
      <c r="I95" s="36">
        <v>7.1879999999999997</v>
      </c>
      <c r="J95" s="36">
        <v>7.3479999999999999</v>
      </c>
      <c r="K95" s="37">
        <v>6.6470000000000002</v>
      </c>
      <c r="L95" s="37">
        <v>6.9119999999999999</v>
      </c>
      <c r="M95" s="47">
        <v>32.840000000000003</v>
      </c>
      <c r="N95" s="47">
        <v>36.6</v>
      </c>
    </row>
    <row r="96" spans="1:19" x14ac:dyDescent="0.3">
      <c r="A96">
        <v>9</v>
      </c>
      <c r="B96" s="22">
        <v>1.25</v>
      </c>
      <c r="C96" s="35">
        <v>8.9719999999999995</v>
      </c>
      <c r="D96" s="35">
        <v>8.76</v>
      </c>
      <c r="E96" s="34">
        <v>8.16</v>
      </c>
      <c r="F96" s="34">
        <v>8.0419999999999998</v>
      </c>
      <c r="G96" s="35">
        <v>7.4379999999999997</v>
      </c>
      <c r="H96" s="35">
        <v>7.2720000000000002</v>
      </c>
      <c r="I96" s="36">
        <v>8.1880000000000006</v>
      </c>
      <c r="J96" s="36">
        <v>8.3480000000000008</v>
      </c>
      <c r="K96" s="37">
        <v>7.6470000000000002</v>
      </c>
      <c r="L96" s="37">
        <v>7.9119999999999999</v>
      </c>
      <c r="M96" s="47">
        <v>43.78</v>
      </c>
      <c r="N96" s="47">
        <v>48.1</v>
      </c>
    </row>
    <row r="97" spans="1:14" x14ac:dyDescent="0.3">
      <c r="A97">
        <v>10</v>
      </c>
      <c r="B97" s="22">
        <v>1.5</v>
      </c>
      <c r="C97" s="35">
        <v>9.968</v>
      </c>
      <c r="D97" s="35">
        <v>9.7319999999999993</v>
      </c>
      <c r="E97" s="34">
        <v>8.9939999999999998</v>
      </c>
      <c r="F97" s="34">
        <v>8.8620000000000001</v>
      </c>
      <c r="G97" s="35">
        <v>8.1280000000000001</v>
      </c>
      <c r="H97" s="35">
        <v>7.9379999999999997</v>
      </c>
      <c r="I97" s="36">
        <v>9.0259999999999998</v>
      </c>
      <c r="J97" s="36">
        <v>9.2059999999999995</v>
      </c>
      <c r="K97" s="37">
        <v>8.3759999999999994</v>
      </c>
      <c r="L97" s="37">
        <v>8.6760000000000002</v>
      </c>
      <c r="M97" s="47">
        <v>52.3</v>
      </c>
      <c r="N97" s="47">
        <v>58</v>
      </c>
    </row>
    <row r="98" spans="1:14" x14ac:dyDescent="0.3">
      <c r="A98">
        <v>11</v>
      </c>
      <c r="B98" s="22">
        <v>1.5</v>
      </c>
      <c r="C98" s="35">
        <v>10.968</v>
      </c>
      <c r="D98" s="35">
        <v>10.731999999999999</v>
      </c>
      <c r="E98" s="34">
        <v>9.9939999999999998</v>
      </c>
      <c r="F98" s="34">
        <v>9.8620000000000001</v>
      </c>
      <c r="G98" s="35">
        <v>9.1280000000000001</v>
      </c>
      <c r="H98" s="35">
        <v>8.9380000000000006</v>
      </c>
      <c r="I98" s="36">
        <v>10.026</v>
      </c>
      <c r="J98" s="36">
        <v>10.206</v>
      </c>
      <c r="K98" s="37">
        <v>9.3759999999999994</v>
      </c>
      <c r="L98" s="37">
        <v>9.6760000000000002</v>
      </c>
      <c r="M98" s="47">
        <v>65.900000000000006</v>
      </c>
      <c r="N98" s="47">
        <v>72.3</v>
      </c>
    </row>
    <row r="99" spans="1:14" x14ac:dyDescent="0.3">
      <c r="A99">
        <v>12</v>
      </c>
      <c r="B99" s="22">
        <v>1.75</v>
      </c>
      <c r="C99" s="35">
        <v>11.965999999999999</v>
      </c>
      <c r="D99" s="35">
        <v>11.701000000000001</v>
      </c>
      <c r="E99" s="34">
        <v>10.829000000000001</v>
      </c>
      <c r="F99" s="34">
        <v>10.679</v>
      </c>
      <c r="G99" s="35">
        <v>9.8190000000000008</v>
      </c>
      <c r="H99" s="35">
        <v>9.6020000000000003</v>
      </c>
      <c r="I99" s="36">
        <v>10.863</v>
      </c>
      <c r="J99" s="36">
        <v>11.063000000000001</v>
      </c>
      <c r="K99" s="37">
        <v>10.106</v>
      </c>
      <c r="L99" s="37">
        <v>10.441000000000001</v>
      </c>
      <c r="M99" s="47">
        <v>76.25</v>
      </c>
      <c r="N99" s="47">
        <v>84.3</v>
      </c>
    </row>
    <row r="100" spans="1:14" x14ac:dyDescent="0.3">
      <c r="A100">
        <v>14</v>
      </c>
      <c r="B100" s="22">
        <v>2</v>
      </c>
      <c r="C100" s="35">
        <v>13.962</v>
      </c>
      <c r="D100" s="35">
        <v>13.682</v>
      </c>
      <c r="E100" s="34">
        <v>12.663</v>
      </c>
      <c r="F100" s="34">
        <v>12.503</v>
      </c>
      <c r="G100" s="35">
        <v>11.507999999999999</v>
      </c>
      <c r="H100" s="35">
        <v>11.271000000000001</v>
      </c>
      <c r="I100" s="36">
        <v>12.701000000000001</v>
      </c>
      <c r="J100" s="36">
        <v>12.913</v>
      </c>
      <c r="K100" s="37">
        <v>11.835000000000001</v>
      </c>
      <c r="L100" s="37">
        <v>12.21</v>
      </c>
      <c r="M100" s="47">
        <v>104.7</v>
      </c>
      <c r="N100" s="47">
        <v>115</v>
      </c>
    </row>
    <row r="101" spans="1:14" x14ac:dyDescent="0.3">
      <c r="A101">
        <v>16</v>
      </c>
      <c r="B101" s="22">
        <v>2</v>
      </c>
      <c r="C101" s="35">
        <v>15.962</v>
      </c>
      <c r="D101" s="35">
        <v>15.682</v>
      </c>
      <c r="E101" s="34">
        <v>14.663</v>
      </c>
      <c r="F101" s="34">
        <v>14.503</v>
      </c>
      <c r="G101" s="35">
        <v>13.507999999999999</v>
      </c>
      <c r="H101" s="35">
        <v>13.271000000000001</v>
      </c>
      <c r="I101" s="36">
        <v>14.701000000000001</v>
      </c>
      <c r="J101" s="36">
        <v>14.913</v>
      </c>
      <c r="K101" s="37">
        <v>13.835000000000001</v>
      </c>
      <c r="L101" s="37">
        <v>14.21</v>
      </c>
      <c r="M101" s="47">
        <v>144.1</v>
      </c>
      <c r="N101" s="47">
        <v>157</v>
      </c>
    </row>
    <row r="102" spans="1:14" x14ac:dyDescent="0.3">
      <c r="A102">
        <v>18</v>
      </c>
      <c r="B102" s="22">
        <v>2.5</v>
      </c>
      <c r="C102" s="35">
        <v>17.957999999999998</v>
      </c>
      <c r="D102" s="35">
        <v>17.623000000000001</v>
      </c>
      <c r="E102" s="34">
        <v>16.334</v>
      </c>
      <c r="F102" s="34">
        <v>16.164000000000001</v>
      </c>
      <c r="G102" s="35">
        <v>14.891</v>
      </c>
      <c r="H102" s="35">
        <v>14.625</v>
      </c>
      <c r="I102" s="36">
        <v>16.376000000000001</v>
      </c>
      <c r="J102" s="36">
        <v>16.600000000000001</v>
      </c>
      <c r="K102" s="37">
        <v>15.294</v>
      </c>
      <c r="L102" s="37">
        <v>15.744</v>
      </c>
      <c r="M102" s="47">
        <v>175.1</v>
      </c>
      <c r="N102" s="47">
        <v>193</v>
      </c>
    </row>
    <row r="103" spans="1:14" x14ac:dyDescent="0.3">
      <c r="A103">
        <v>20</v>
      </c>
      <c r="B103" s="22">
        <v>2.5</v>
      </c>
      <c r="C103" s="35">
        <v>19.957999999999998</v>
      </c>
      <c r="D103" s="35">
        <v>19.623000000000001</v>
      </c>
      <c r="E103" s="34">
        <v>18.334</v>
      </c>
      <c r="F103" s="34">
        <v>18.164000000000001</v>
      </c>
      <c r="G103" s="35">
        <v>16.890999999999998</v>
      </c>
      <c r="H103" s="35">
        <v>16.625</v>
      </c>
      <c r="I103" s="36">
        <v>18.376000000000001</v>
      </c>
      <c r="J103" s="36">
        <v>18.600000000000001</v>
      </c>
      <c r="K103" s="37">
        <v>17.294</v>
      </c>
      <c r="L103" s="37">
        <v>17.744</v>
      </c>
      <c r="M103" s="47">
        <v>225.2</v>
      </c>
      <c r="N103" s="47">
        <v>245</v>
      </c>
    </row>
    <row r="104" spans="1:14" ht="57.6" x14ac:dyDescent="0.3">
      <c r="M104" s="43" t="s">
        <v>292</v>
      </c>
      <c r="N104" s="44" t="s">
        <v>293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Param_Catia</vt:lpstr>
      <vt:lpstr>Rosca0</vt:lpstr>
      <vt:lpstr>Helicoil_Catia</vt:lpstr>
      <vt:lpstr>ISO_4762</vt:lpstr>
      <vt:lpstr>ISO_7089_Arandela</vt:lpstr>
      <vt:lpstr>Long_Roscado</vt:lpstr>
      <vt:lpstr>e1_ProfRoscado</vt:lpstr>
      <vt:lpstr>Sucio</vt:lpstr>
      <vt:lpstr>Rosca</vt:lpstr>
      <vt:lpstr>Long_Roscado (2)</vt:lpstr>
      <vt:lpstr>Helicoil_Catia_2</vt:lpstr>
      <vt:lpstr>Helicoil</vt:lpstr>
      <vt:lpstr>Sizes</vt:lpstr>
      <vt:lpstr>Bolt_Metric_data_M</vt:lpstr>
      <vt:lpstr>Bolt_Metric_data_MJ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García-Taheño</dc:creator>
  <cp:lastModifiedBy>JUAN CARLOS GARCIA-TAHEÑO HIJES</cp:lastModifiedBy>
  <dcterms:created xsi:type="dcterms:W3CDTF">2015-06-05T18:19:34Z</dcterms:created>
  <dcterms:modified xsi:type="dcterms:W3CDTF">2025-07-07T08:29:47Z</dcterms:modified>
</cp:coreProperties>
</file>