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Clases\(3) Tercer Semestre\Finanzas Internacionales\"/>
    </mc:Choice>
  </mc:AlternateContent>
  <xr:revisionPtr revIDLastSave="0" documentId="13_ncr:1_{E947010B-0D00-4C88-8825-02A9337B3012}" xr6:coauthVersionLast="47" xr6:coauthVersionMax="47" xr10:uidLastSave="{00000000-0000-0000-0000-000000000000}"/>
  <bookViews>
    <workbookView xWindow="-120" yWindow="-120" windowWidth="20730" windowHeight="11040" xr2:uid="{9A794E7A-2488-4214-9536-5F0227BA29E7}"/>
  </bookViews>
  <sheets>
    <sheet name="Calculadora Valor de Giro" sheetId="7" r:id="rId1"/>
    <sheet name="Copyright" sheetId="11" r:id="rId2"/>
    <sheet name="H1" sheetId="8" state="hidden" r:id="rId3"/>
    <sheet name="H2" sheetId="10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" i="10" l="1"/>
  <c r="H15" i="10"/>
  <c r="G15" i="10"/>
  <c r="C2" i="10" l="1"/>
  <c r="B4" i="7"/>
  <c r="C4" i="7"/>
  <c r="C3" i="10"/>
  <c r="C8" i="10" l="1"/>
  <c r="C4" i="10"/>
  <c r="C7" i="10"/>
  <c r="D15" i="10" s="1"/>
  <c r="C6" i="10"/>
  <c r="C11" i="10" s="1"/>
  <c r="C15" i="10" l="1"/>
  <c r="E15" i="10"/>
  <c r="D16" i="10"/>
  <c r="C10" i="10"/>
  <c r="D17" i="10" l="1"/>
  <c r="C16" i="10" l="1"/>
  <c r="D32" i="10" s="1"/>
  <c r="E9" i="7" s="1"/>
  <c r="E16" i="10"/>
  <c r="C19" i="10" s="1" a="1"/>
  <c r="C19" i="10" s="1"/>
  <c r="C26" i="10" l="1"/>
  <c r="C23" i="10" a="1"/>
  <c r="C23" i="10" s="1"/>
  <c r="C24" i="10" a="1"/>
  <c r="C24" i="10" s="1"/>
  <c r="C28" i="10" s="1"/>
  <c r="E3" i="7" s="1"/>
  <c r="B28" i="10" l="1"/>
  <c r="D31" i="10"/>
  <c r="E6" i="7" s="1"/>
  <c r="D33" i="10"/>
  <c r="E12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<sst xmlns="http://schemas.openxmlformats.org/spreadsheetml/2006/main" count="51" uniqueCount="47">
  <si>
    <t>PS</t>
  </si>
  <si>
    <t>CC</t>
  </si>
  <si>
    <t>PL</t>
  </si>
  <si>
    <t>Referencia</t>
  </si>
  <si>
    <t>TFIT16240724</t>
  </si>
  <si>
    <t>TFIT15260826</t>
  </si>
  <si>
    <t>TFIT10040522</t>
  </si>
  <si>
    <t>TFIT16280428</t>
  </si>
  <si>
    <t>TFIT16180930</t>
  </si>
  <si>
    <t>TFIT16300632</t>
  </si>
  <si>
    <t>TFIT08261125</t>
  </si>
  <si>
    <t>TFIT16181034</t>
  </si>
  <si>
    <t>TFIT08031127</t>
  </si>
  <si>
    <t>TFIT31261050</t>
  </si>
  <si>
    <t>TFIT16090736</t>
  </si>
  <si>
    <t>Tasa Cupón</t>
  </si>
  <si>
    <t>Fecha Vencimiento</t>
  </si>
  <si>
    <t>Fecha Inicio</t>
  </si>
  <si>
    <t>Valor Nominal</t>
  </si>
  <si>
    <t>Fecha Operación</t>
  </si>
  <si>
    <t>TIR de Operación</t>
  </si>
  <si>
    <t>DIAS</t>
  </si>
  <si>
    <t>L0</t>
  </si>
  <si>
    <t>L1</t>
  </si>
  <si>
    <t>L-1</t>
  </si>
  <si>
    <t>VALOR DE GIRO</t>
  </si>
  <si>
    <t># VG Cupones</t>
  </si>
  <si>
    <t>Valor Cupones</t>
  </si>
  <si>
    <t>Principal</t>
  </si>
  <si>
    <t># VG Principal</t>
  </si>
  <si>
    <t># VG TOTAL</t>
  </si>
  <si>
    <t>PRECIOS</t>
  </si>
  <si>
    <t>Referencia del Título:</t>
  </si>
  <si>
    <t>Valor Nominal:</t>
  </si>
  <si>
    <t>TIR:</t>
  </si>
  <si>
    <t>Valor de Giro:</t>
  </si>
  <si>
    <t>Precio Limpio:</t>
  </si>
  <si>
    <t>Cupón corrido:</t>
  </si>
  <si>
    <t>Fecha de la Operación:</t>
  </si>
  <si>
    <t>Precio Sucio:</t>
  </si>
  <si>
    <t>D</t>
  </si>
  <si>
    <t>M</t>
  </si>
  <si>
    <t>AoD</t>
  </si>
  <si>
    <t xml:space="preserve">Elaborado por: </t>
  </si>
  <si>
    <t>Fecha de Creación:</t>
  </si>
  <si>
    <t>Última Modificación:</t>
  </si>
  <si>
    <t>Juan David Rincón 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</si>
</sst>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2"/>
      <color theme="9" tint="-0.499984740745262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14" fontId="0" fillId="0" borderId="0" xfId="0" applyNumberFormat="1"/>
    <xf numFmtId="43" fontId="0" fillId="0" borderId="0" xfId="1" applyFont="1"/>
    <xf numFmtId="10" fontId="0" fillId="0" borderId="0" xfId="0" applyNumberFormat="1"/>
    <xf numFmtId="10" fontId="0" fillId="0" borderId="0" xfId="2" applyNumberFormat="1" applyFont="1"/>
    <xf numFmtId="0" fontId="0" fillId="0" borderId="0" xfId="2" applyNumberFormat="1" applyFont="1"/>
    <xf numFmtId="0" fontId="0" fillId="2" borderId="0" xfId="0" applyFill="1"/>
    <xf numFmtId="164" fontId="0" fillId="2" borderId="0" xfId="0" applyNumberFormat="1" applyFill="1"/>
    <xf numFmtId="0" fontId="0" fillId="4" borderId="0" xfId="0" applyFill="1"/>
    <xf numFmtId="0" fontId="4" fillId="7" borderId="0" xfId="0" applyFont="1" applyFill="1" applyAlignment="1" applyProtection="1">
      <alignment horizontal="center" vertical="center"/>
      <protection hidden="1"/>
    </xf>
    <xf numFmtId="0" fontId="2" fillId="7" borderId="0" xfId="0" applyFont="1" applyFill="1" applyAlignment="1" applyProtection="1">
      <alignment horizontal="left" vertical="center"/>
      <protection hidden="1"/>
    </xf>
    <xf numFmtId="164" fontId="6" fillId="5" borderId="1" xfId="0" applyNumberFormat="1" applyFont="1" applyFill="1" applyBorder="1" applyAlignment="1" applyProtection="1">
      <alignment horizontal="center" vertical="center"/>
      <protection hidden="1"/>
    </xf>
    <xf numFmtId="43" fontId="6" fillId="5" borderId="1" xfId="1" applyFont="1" applyFill="1" applyBorder="1" applyAlignment="1" applyProtection="1">
      <alignment horizontal="center" vertical="center"/>
      <protection hidden="1"/>
    </xf>
    <xf numFmtId="0" fontId="0" fillId="3" borderId="1" xfId="0" applyFill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14" fontId="0" fillId="0" borderId="1" xfId="0" applyNumberFormat="1" applyBorder="1" applyAlignment="1" applyProtection="1">
      <alignment horizontal="center" vertical="center"/>
      <protection hidden="1"/>
    </xf>
    <xf numFmtId="9" fontId="0" fillId="0" borderId="1" xfId="0" applyNumberFormat="1" applyBorder="1" applyAlignment="1" applyProtection="1">
      <alignment horizontal="center" vertical="center"/>
      <protection hidden="1"/>
    </xf>
    <xf numFmtId="10" fontId="0" fillId="0" borderId="1" xfId="0" applyNumberFormat="1" applyBorder="1" applyAlignment="1" applyProtection="1">
      <alignment horizontal="center" vertical="center"/>
      <protection hidden="1"/>
    </xf>
    <xf numFmtId="14" fontId="4" fillId="7" borderId="0" xfId="0" applyNumberFormat="1" applyFont="1" applyFill="1" applyAlignment="1" applyProtection="1">
      <alignment horizontal="center" vertical="top"/>
      <protection hidden="1"/>
    </xf>
    <xf numFmtId="10" fontId="4" fillId="7" borderId="0" xfId="2" applyNumberFormat="1" applyFont="1" applyFill="1" applyAlignment="1" applyProtection="1">
      <alignment horizontal="center" vertical="top"/>
      <protection hidden="1"/>
    </xf>
    <xf numFmtId="0" fontId="0" fillId="7" borderId="0" xfId="0" applyFill="1"/>
    <xf numFmtId="10" fontId="3" fillId="6" borderId="1" xfId="0" applyNumberFormat="1" applyFont="1" applyFill="1" applyBorder="1" applyAlignment="1" applyProtection="1">
      <alignment horizontal="center" vertical="center"/>
      <protection locked="0"/>
    </xf>
    <xf numFmtId="0" fontId="2" fillId="7" borderId="0" xfId="0" applyFont="1" applyFill="1" applyBorder="1" applyAlignment="1" applyProtection="1">
      <alignment horizontal="left" vertical="center"/>
      <protection hidden="1"/>
    </xf>
    <xf numFmtId="14" fontId="5" fillId="6" borderId="1" xfId="0" applyNumberFormat="1" applyFont="1" applyFill="1" applyBorder="1" applyAlignment="1" applyProtection="1">
      <alignment horizontal="center" vertical="center"/>
      <protection locked="0"/>
    </xf>
    <xf numFmtId="43" fontId="5" fillId="6" borderId="1" xfId="1" applyFont="1" applyFill="1" applyBorder="1" applyAlignment="1" applyProtection="1">
      <alignment horizontal="center" vertical="center"/>
      <protection locked="0"/>
    </xf>
    <xf numFmtId="14" fontId="5" fillId="6" borderId="1" xfId="1" applyNumberFormat="1" applyFont="1" applyFill="1" applyBorder="1" applyAlignment="1" applyProtection="1">
      <alignment horizontal="center" vertical="center"/>
      <protection locked="0"/>
    </xf>
    <xf numFmtId="0" fontId="7" fillId="7" borderId="0" xfId="0" applyFont="1" applyFill="1"/>
    <xf numFmtId="0" fontId="8" fillId="7" borderId="0" xfId="0" applyFont="1" applyFill="1"/>
    <xf numFmtId="14" fontId="9" fillId="7" borderId="0" xfId="0" applyNumberFormat="1" applyFont="1" applyFill="1" applyAlignment="1">
      <alignment horizontal="left"/>
    </xf>
  </cellXfs>
  <cellStyles count="3">
    <cellStyle name="Millares" xfId="1" builtinId="3"/>
    <cellStyle name="Normal" xfId="0" builtinId="0"/>
    <cellStyle name="Porcentaje" xfId="2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1660659</xdr:colOff>
      <xdr:row>7</xdr:row>
      <xdr:rowOff>9525</xdr:rowOff>
    </xdr:to>
    <xdr:pic>
      <xdr:nvPicPr>
        <xdr:cNvPr id="2" name="Imagen 1" descr="by-nc">
          <a:extLst>
            <a:ext uri="{FF2B5EF4-FFF2-40B4-BE49-F238E27FC236}">
              <a16:creationId xmlns:a16="http://schemas.microsoft.com/office/drawing/2014/main" id="{B96DE63C-CEF5-47B2-808D-407C9FA1D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"/>
          <a:ext cx="1660659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A42AD-3BE1-4FFC-8A6E-5D0388E1C91A}">
  <dimension ref="B2:E12"/>
  <sheetViews>
    <sheetView tabSelected="1" workbookViewId="0">
      <selection activeCell="D15" sqref="D15"/>
    </sheetView>
  </sheetViews>
  <sheetFormatPr baseColWidth="10" defaultRowHeight="14.25" x14ac:dyDescent="0.25"/>
  <cols>
    <col min="1" max="1" width="11.42578125" style="9" customWidth="1"/>
    <col min="2" max="4" width="14.28515625" style="9" customWidth="1"/>
    <col min="5" max="5" width="27.7109375" style="9" bestFit="1" customWidth="1"/>
    <col min="6" max="6" width="11.42578125" style="9" customWidth="1"/>
    <col min="7" max="7" width="15.5703125" style="9" bestFit="1" customWidth="1"/>
    <col min="8" max="8" width="11.42578125" style="9" customWidth="1"/>
    <col min="9" max="9" width="16.140625" style="9" bestFit="1" customWidth="1"/>
    <col min="10" max="10" width="11.42578125" style="9" customWidth="1"/>
    <col min="11" max="11" width="15.5703125" style="9" bestFit="1" customWidth="1"/>
    <col min="12" max="16384" width="11.42578125" style="9"/>
  </cols>
  <sheetData>
    <row r="2" spans="2:5" ht="15" x14ac:dyDescent="0.25">
      <c r="B2" s="23" t="s">
        <v>32</v>
      </c>
      <c r="C2" s="23"/>
      <c r="E2" s="10" t="s">
        <v>35</v>
      </c>
    </row>
    <row r="3" spans="2:5" ht="22.5" customHeight="1" x14ac:dyDescent="0.25">
      <c r="B3" s="24" t="s">
        <v>10</v>
      </c>
      <c r="C3" s="24"/>
      <c r="E3" s="12">
        <f>IFERROR('H2'!C28,"ERROR")</f>
        <v>2659387217.4854856</v>
      </c>
    </row>
    <row r="4" spans="2:5" ht="18.75" customHeight="1" x14ac:dyDescent="0.25">
      <c r="B4" s="20">
        <f>VLOOKUP(B3,'H1'!B3:E13,3,)</f>
        <v>6.25E-2</v>
      </c>
      <c r="C4" s="19">
        <f>VLOOKUP(B3,'H1'!B3:E13,2, )</f>
        <v>45987</v>
      </c>
    </row>
    <row r="5" spans="2:5" ht="15" x14ac:dyDescent="0.25">
      <c r="B5" s="23" t="s">
        <v>33</v>
      </c>
      <c r="C5" s="23"/>
      <c r="E5" s="10" t="s">
        <v>39</v>
      </c>
    </row>
    <row r="6" spans="2:5" ht="22.5" customHeight="1" x14ac:dyDescent="0.25">
      <c r="B6" s="25">
        <v>2500000000</v>
      </c>
      <c r="C6" s="25"/>
      <c r="E6" s="11">
        <f>IFERROR('H2'!D31,"ERROR")</f>
        <v>106.37548869941942</v>
      </c>
    </row>
    <row r="7" spans="2:5" ht="18.75" customHeight="1" x14ac:dyDescent="0.25"/>
    <row r="8" spans="2:5" ht="15" x14ac:dyDescent="0.25">
      <c r="B8" s="23" t="s">
        <v>38</v>
      </c>
      <c r="C8" s="23"/>
      <c r="E8" s="10" t="s">
        <v>37</v>
      </c>
    </row>
    <row r="9" spans="2:5" ht="22.5" customHeight="1" x14ac:dyDescent="0.25">
      <c r="B9" s="26">
        <v>43885</v>
      </c>
      <c r="C9" s="26"/>
      <c r="E9" s="11">
        <f>IFERROR('H2'!D32,"ERROR")</f>
        <v>1.5410958904109591</v>
      </c>
    </row>
    <row r="10" spans="2:5" ht="18.75" customHeight="1" x14ac:dyDescent="0.25"/>
    <row r="11" spans="2:5" ht="15" x14ac:dyDescent="0.25">
      <c r="B11" s="23" t="s">
        <v>34</v>
      </c>
      <c r="C11" s="23"/>
      <c r="E11" s="10" t="s">
        <v>36</v>
      </c>
    </row>
    <row r="12" spans="2:5" ht="22.5" customHeight="1" x14ac:dyDescent="0.25">
      <c r="B12" s="22">
        <v>5.2486999999999999E-2</v>
      </c>
      <c r="C12" s="22"/>
      <c r="E12" s="11">
        <f>IFERROR('H2'!D33,"ERROR")</f>
        <v>104.83439280900846</v>
      </c>
    </row>
  </sheetData>
  <sheetProtection algorithmName="SHA-512" hashValue="8r877uO8lTZLE6/TSGX4X5ZGf2Um5Kv6AM9BOlpQF58tUDHJuELPZnb5HrnJYScnIuQdbRxKHzrKy2hChfbuSw==" saltValue="LpG8SYxI5CF24jgNYl0zcA==" spinCount="100000" sheet="1" objects="1" scenarios="1"/>
  <mergeCells count="8">
    <mergeCell ref="B12:C12"/>
    <mergeCell ref="B11:C11"/>
    <mergeCell ref="B2:C2"/>
    <mergeCell ref="B3:C3"/>
    <mergeCell ref="B5:C5"/>
    <mergeCell ref="B6:C6"/>
    <mergeCell ref="B8:C8"/>
    <mergeCell ref="B9:C9"/>
  </mergeCells>
  <conditionalFormatting sqref="E3">
    <cfRule type="cellIs" dxfId="7" priority="4" operator="between">
      <formula>-99999999999999900000</formula>
      <formula>99999999999999900</formula>
    </cfRule>
    <cfRule type="cellIs" dxfId="6" priority="8" operator="equal">
      <formula>"ERROR"</formula>
    </cfRule>
  </conditionalFormatting>
  <conditionalFormatting sqref="E6">
    <cfRule type="cellIs" dxfId="5" priority="3" operator="between">
      <formula>-9999999999999</formula>
      <formula>9.99999999999999E+23</formula>
    </cfRule>
    <cfRule type="cellIs" dxfId="4" priority="7" operator="equal">
      <formula>"ERROR"</formula>
    </cfRule>
  </conditionalFormatting>
  <conditionalFormatting sqref="E9">
    <cfRule type="cellIs" dxfId="3" priority="2" operator="between">
      <formula>-99999999999999900000</formula>
      <formula>99999999999999900000</formula>
    </cfRule>
    <cfRule type="cellIs" dxfId="2" priority="6" operator="equal">
      <formula>"ERROR"</formula>
    </cfRule>
  </conditionalFormatting>
  <conditionalFormatting sqref="E12">
    <cfRule type="cellIs" dxfId="1" priority="1" operator="between">
      <formula>-99999999999999900000</formula>
      <formula>99999999999999900000</formula>
    </cfRule>
    <cfRule type="cellIs" dxfId="0" priority="5" operator="equal">
      <formula>"ERROR"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768EF6F-E531-43C0-926E-48AEA50CD573}">
          <x14:formula1>
            <xm:f>'H1'!$B$3:$B$13</xm:f>
          </x14:formula1>
          <xm:sqref>B3 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2F39-0AEF-470F-965F-5125C98374BE}">
  <dimension ref="A1:D3"/>
  <sheetViews>
    <sheetView workbookViewId="0">
      <selection activeCell="A3" sqref="A3"/>
    </sheetView>
  </sheetViews>
  <sheetFormatPr baseColWidth="10" defaultRowHeight="15" x14ac:dyDescent="0.25"/>
  <cols>
    <col min="1" max="1" width="26.85546875" style="21" customWidth="1"/>
    <col min="2" max="2" width="4.28515625" style="21" customWidth="1"/>
    <col min="3" max="3" width="16.5703125" style="21" bestFit="1" customWidth="1"/>
    <col min="4" max="16384" width="11.42578125" style="21"/>
  </cols>
  <sheetData>
    <row r="1" spans="1:4" ht="21" x14ac:dyDescent="0.35">
      <c r="A1" s="27" t="s">
        <v>43</v>
      </c>
      <c r="B1" s="27"/>
      <c r="C1" s="28" t="s">
        <v>46</v>
      </c>
      <c r="D1" s="27"/>
    </row>
    <row r="2" spans="1:4" ht="21" x14ac:dyDescent="0.35">
      <c r="A2" s="27" t="s">
        <v>44</v>
      </c>
      <c r="B2" s="27"/>
      <c r="C2" s="29">
        <v>44295</v>
      </c>
      <c r="D2" s="27"/>
    </row>
    <row r="3" spans="1:4" ht="21" x14ac:dyDescent="0.35">
      <c r="A3" s="27" t="s">
        <v>45</v>
      </c>
      <c r="B3" s="27"/>
      <c r="C3" s="29">
        <v>44978</v>
      </c>
      <c r="D3" s="27"/>
    </row>
  </sheetData>
  <sheetProtection algorithmName="SHA-512" hashValue="HtmRLtv2mtiCEjheMzfzvkQkRyvvjU7ywtwc7UY7ILDG95UPrlqaVxENhCIuacSeKAJ0rWCHjFEhLXuB0vbTPA==" saltValue="Tt3rykyF9WKutWdaJdCMhA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47F70-CB7A-4828-802B-5E310431CAEB}">
  <dimension ref="B2:E13"/>
  <sheetViews>
    <sheetView workbookViewId="0">
      <selection activeCell="G3" sqref="G3"/>
    </sheetView>
  </sheetViews>
  <sheetFormatPr baseColWidth="10" defaultRowHeight="15" x14ac:dyDescent="0.25"/>
  <cols>
    <col min="1" max="1" width="11.42578125" style="14"/>
    <col min="2" max="2" width="14.28515625" style="14" customWidth="1"/>
    <col min="3" max="3" width="18.140625" style="14" bestFit="1" customWidth="1"/>
    <col min="4" max="4" width="12.5703125" style="14" bestFit="1" customWidth="1"/>
    <col min="5" max="16384" width="11.42578125" style="14"/>
  </cols>
  <sheetData>
    <row r="2" spans="2:5" x14ac:dyDescent="0.25">
      <c r="B2" s="13" t="s">
        <v>3</v>
      </c>
      <c r="C2" s="13" t="s">
        <v>16</v>
      </c>
      <c r="D2" s="13" t="s">
        <v>15</v>
      </c>
      <c r="E2" s="13" t="s">
        <v>17</v>
      </c>
    </row>
    <row r="3" spans="2:5" x14ac:dyDescent="0.25">
      <c r="B3" s="15" t="s">
        <v>6</v>
      </c>
      <c r="C3" s="16">
        <v>44685</v>
      </c>
      <c r="D3" s="17">
        <v>7.0000000000000007E-2</v>
      </c>
      <c r="E3" s="16">
        <v>41033</v>
      </c>
    </row>
    <row r="4" spans="2:5" x14ac:dyDescent="0.25">
      <c r="B4" s="15" t="s">
        <v>4</v>
      </c>
      <c r="C4" s="16">
        <v>45497</v>
      </c>
      <c r="D4" s="17">
        <v>0.1</v>
      </c>
      <c r="E4" s="16">
        <v>39653</v>
      </c>
    </row>
    <row r="5" spans="2:5" x14ac:dyDescent="0.25">
      <c r="B5" s="15" t="s">
        <v>10</v>
      </c>
      <c r="C5" s="16">
        <v>45987</v>
      </c>
      <c r="D5" s="18">
        <v>6.25E-2</v>
      </c>
      <c r="E5" s="16">
        <v>43065</v>
      </c>
    </row>
    <row r="6" spans="2:5" x14ac:dyDescent="0.25">
      <c r="B6" s="15" t="s">
        <v>5</v>
      </c>
      <c r="C6" s="16">
        <v>46260</v>
      </c>
      <c r="D6" s="18">
        <v>7.4999999999999997E-2</v>
      </c>
      <c r="E6" s="16">
        <v>40781</v>
      </c>
    </row>
    <row r="7" spans="2:5" x14ac:dyDescent="0.25">
      <c r="B7" s="15" t="s">
        <v>12</v>
      </c>
      <c r="C7" s="16">
        <v>46694</v>
      </c>
      <c r="D7" s="18">
        <v>5.7500000000000002E-2</v>
      </c>
      <c r="E7" s="16">
        <v>43772</v>
      </c>
    </row>
    <row r="8" spans="2:5" x14ac:dyDescent="0.25">
      <c r="B8" s="15" t="s">
        <v>7</v>
      </c>
      <c r="C8" s="16">
        <v>46871</v>
      </c>
      <c r="D8" s="17">
        <v>0.06</v>
      </c>
      <c r="E8" s="16">
        <v>41027</v>
      </c>
    </row>
    <row r="9" spans="2:5" x14ac:dyDescent="0.25">
      <c r="B9" s="15" t="s">
        <v>8</v>
      </c>
      <c r="C9" s="16">
        <v>47744</v>
      </c>
      <c r="D9" s="18">
        <v>7.7499999999999999E-2</v>
      </c>
      <c r="E9" s="16">
        <v>41900</v>
      </c>
    </row>
    <row r="10" spans="2:5" x14ac:dyDescent="0.25">
      <c r="B10" s="15" t="s">
        <v>9</v>
      </c>
      <c r="C10" s="16">
        <v>48395</v>
      </c>
      <c r="D10" s="17">
        <v>7.0000000000000007E-2</v>
      </c>
      <c r="E10" s="16">
        <v>42551</v>
      </c>
    </row>
    <row r="11" spans="2:5" x14ac:dyDescent="0.25">
      <c r="B11" s="15" t="s">
        <v>11</v>
      </c>
      <c r="C11" s="16">
        <v>49235</v>
      </c>
      <c r="D11" s="18">
        <v>7.2499999999999995E-2</v>
      </c>
      <c r="E11" s="16">
        <v>43391</v>
      </c>
    </row>
    <row r="12" spans="2:5" x14ac:dyDescent="0.25">
      <c r="B12" s="15" t="s">
        <v>14</v>
      </c>
      <c r="C12" s="16">
        <v>49865</v>
      </c>
      <c r="D12" s="18">
        <v>6.25E-2</v>
      </c>
      <c r="E12" s="16">
        <v>44021</v>
      </c>
    </row>
    <row r="13" spans="2:5" x14ac:dyDescent="0.25">
      <c r="B13" s="15" t="s">
        <v>13</v>
      </c>
      <c r="C13" s="16">
        <v>55087</v>
      </c>
      <c r="D13" s="18">
        <v>7.2499999999999995E-2</v>
      </c>
      <c r="E13" s="16">
        <v>43764</v>
      </c>
    </row>
  </sheetData>
  <sheetProtection algorithmName="SHA-512" hashValue="C8Xlpqg3ygPwNYkdOE9VCZhTlmOzX/nE7l42UTPntigrrLTFJ3bZjawXdbJpy5Sf5Pm+SO4EKFqpwVi9I9sL1Q==" saltValue="Ku13oLgij6g+FJBt3pItgg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453A9-1B73-4F1F-89BA-4191A1649C07}">
  <dimension ref="B2:I33"/>
  <sheetViews>
    <sheetView topLeftCell="A16" workbookViewId="0">
      <selection activeCell="L19" sqref="L19"/>
    </sheetView>
  </sheetViews>
  <sheetFormatPr baseColWidth="10" defaultRowHeight="15" x14ac:dyDescent="0.25"/>
  <cols>
    <col min="1" max="1" width="4.28515625" customWidth="1"/>
    <col min="2" max="2" width="18.140625" bestFit="1" customWidth="1"/>
    <col min="3" max="3" width="11.42578125" customWidth="1"/>
  </cols>
  <sheetData>
    <row r="2" spans="2:9" x14ac:dyDescent="0.25">
      <c r="B2" t="s">
        <v>16</v>
      </c>
      <c r="C2" s="1">
        <f>VLOOKUP('Calculadora Valor de Giro'!B3,'H1'!B3:E13,2, )</f>
        <v>45987</v>
      </c>
    </row>
    <row r="3" spans="2:9" x14ac:dyDescent="0.25">
      <c r="B3" t="s">
        <v>15</v>
      </c>
      <c r="C3" s="3">
        <f>VLOOKUP('Calculadora Valor de Giro'!B3,'H1'!B3:E13,3, )</f>
        <v>6.25E-2</v>
      </c>
    </row>
    <row r="4" spans="2:9" x14ac:dyDescent="0.25">
      <c r="B4" t="s">
        <v>17</v>
      </c>
      <c r="C4" s="1">
        <f>VLOOKUP('Calculadora Valor de Giro'!B3,'H1'!B3:E13,4, )</f>
        <v>43065</v>
      </c>
    </row>
    <row r="6" spans="2:9" x14ac:dyDescent="0.25">
      <c r="B6" t="s">
        <v>18</v>
      </c>
      <c r="C6">
        <f>'Calculadora Valor de Giro'!B6</f>
        <v>2500000000</v>
      </c>
    </row>
    <row r="7" spans="2:9" x14ac:dyDescent="0.25">
      <c r="B7" t="s">
        <v>19</v>
      </c>
      <c r="C7" s="1">
        <f>'Calculadora Valor de Giro'!B9</f>
        <v>43885</v>
      </c>
    </row>
    <row r="8" spans="2:9" x14ac:dyDescent="0.25">
      <c r="B8" t="s">
        <v>20</v>
      </c>
      <c r="C8" s="4">
        <f>'Calculadora Valor de Giro'!B12</f>
        <v>5.2486999999999999E-2</v>
      </c>
    </row>
    <row r="9" spans="2:9" x14ac:dyDescent="0.25">
      <c r="C9" s="4"/>
    </row>
    <row r="10" spans="2:9" x14ac:dyDescent="0.25">
      <c r="B10" t="s">
        <v>27</v>
      </c>
      <c r="C10" s="5">
        <f>C6*C3</f>
        <v>156250000</v>
      </c>
    </row>
    <row r="11" spans="2:9" x14ac:dyDescent="0.25">
      <c r="B11" t="s">
        <v>28</v>
      </c>
      <c r="C11">
        <f>C6</f>
        <v>2500000000</v>
      </c>
    </row>
    <row r="13" spans="2:9" x14ac:dyDescent="0.25">
      <c r="C13" t="s">
        <v>21</v>
      </c>
    </row>
    <row r="14" spans="2:9" x14ac:dyDescent="0.25">
      <c r="C14" t="s">
        <v>24</v>
      </c>
      <c r="D14" t="s">
        <v>22</v>
      </c>
      <c r="E14" t="s">
        <v>23</v>
      </c>
      <c r="G14" t="s">
        <v>40</v>
      </c>
      <c r="H14" t="s">
        <v>41</v>
      </c>
      <c r="I14" t="s">
        <v>42</v>
      </c>
    </row>
    <row r="15" spans="2:9" x14ac:dyDescent="0.25">
      <c r="C15" s="1">
        <f>IF(D15&lt;C4,"ERROR",COUPPCD(D15,C2,1,3))</f>
        <v>43795</v>
      </c>
      <c r="D15" s="1">
        <f>C7</f>
        <v>43885</v>
      </c>
      <c r="E15" s="1">
        <f>IF(D15&lt;C4,"ERROR",COUPNCD(D15,C2,1,3))</f>
        <v>44161</v>
      </c>
      <c r="G15">
        <f>DAY(D15)</f>
        <v>24</v>
      </c>
      <c r="H15">
        <f>MONTH(D15)</f>
        <v>2</v>
      </c>
      <c r="I15">
        <f>IF(AND(G15&lt;=29,H15&lt;=2),0,1)</f>
        <v>0</v>
      </c>
    </row>
    <row r="16" spans="2:9" x14ac:dyDescent="0.25">
      <c r="C16">
        <f>IF(AND(D17=366,I15=0),D15-C15,D15-C15-1)</f>
        <v>90</v>
      </c>
      <c r="D16">
        <f>COUPNUM(D15,C2,1,3)</f>
        <v>6</v>
      </c>
      <c r="E16">
        <f>IF(AND(D17=366,I15=0),E15-D15-1,E15-D15)</f>
        <v>275</v>
      </c>
    </row>
    <row r="17" spans="2:8" x14ac:dyDescent="0.25">
      <c r="D17">
        <f>E15-C15</f>
        <v>366</v>
      </c>
    </row>
    <row r="19" spans="2:8" x14ac:dyDescent="0.25">
      <c r="C19" cm="1">
        <f t="array" ref="C19:H19">_xlfn.SEQUENCE(1,D16,E16,365)</f>
        <v>275</v>
      </c>
      <c r="D19">
        <v>640</v>
      </c>
      <c r="E19">
        <v>1005</v>
      </c>
      <c r="F19">
        <v>1370</v>
      </c>
      <c r="G19">
        <v>1735</v>
      </c>
      <c r="H19">
        <v>2100</v>
      </c>
    </row>
    <row r="21" spans="2:8" x14ac:dyDescent="0.25">
      <c r="C21" t="s">
        <v>25</v>
      </c>
    </row>
    <row r="22" spans="2:8" x14ac:dyDescent="0.25">
      <c r="C22" t="s">
        <v>26</v>
      </c>
    </row>
    <row r="23" spans="2:8" x14ac:dyDescent="0.25">
      <c r="C23" cm="1">
        <f t="array" ref="C23:H23">(C10)/(1+C8)^((_xlfn.SEQUENCE(1,D16,E16,365))/365)</f>
        <v>150342367.88770309</v>
      </c>
      <c r="D23">
        <v>142844869.23610753</v>
      </c>
      <c r="E23">
        <v>135721267.09033704</v>
      </c>
      <c r="F23">
        <v>128952915.41875292</v>
      </c>
      <c r="G23">
        <v>122522098.05798355</v>
      </c>
      <c r="H23">
        <v>116411982.34085891</v>
      </c>
    </row>
    <row r="24" spans="2:8" x14ac:dyDescent="0.25">
      <c r="C24" cm="1">
        <f t="array" ref="C24">SUM((C10)/(1+C8)^((_xlfn.SEQUENCE(1,D16,E16,365))/365))</f>
        <v>796795500.03174305</v>
      </c>
    </row>
    <row r="25" spans="2:8" x14ac:dyDescent="0.25">
      <c r="C25" t="s">
        <v>29</v>
      </c>
    </row>
    <row r="26" spans="2:8" x14ac:dyDescent="0.25">
      <c r="B26" s="2"/>
      <c r="C26">
        <f>(C11)/(1+C8)^((E16+(365*(D16-1)))/365)</f>
        <v>1862591717.4537425</v>
      </c>
    </row>
    <row r="27" spans="2:8" x14ac:dyDescent="0.25">
      <c r="C27" s="8" t="s">
        <v>30</v>
      </c>
    </row>
    <row r="28" spans="2:8" x14ac:dyDescent="0.25">
      <c r="B28" s="2">
        <f>C28</f>
        <v>2659387217.4854856</v>
      </c>
      <c r="C28" s="6">
        <f>C24+C26</f>
        <v>2659387217.4854856</v>
      </c>
    </row>
    <row r="30" spans="2:8" x14ac:dyDescent="0.25">
      <c r="C30" t="s">
        <v>31</v>
      </c>
    </row>
    <row r="31" spans="2:8" x14ac:dyDescent="0.25">
      <c r="C31" s="8" t="s">
        <v>0</v>
      </c>
      <c r="D31" s="7">
        <f>(C28/C6)*100</f>
        <v>106.37548869941942</v>
      </c>
    </row>
    <row r="32" spans="2:8" x14ac:dyDescent="0.25">
      <c r="C32" s="8" t="s">
        <v>1</v>
      </c>
      <c r="D32" s="7">
        <f>(C3/365)*C16*100</f>
        <v>1.5410958904109591</v>
      </c>
    </row>
    <row r="33" spans="3:4" x14ac:dyDescent="0.25">
      <c r="C33" s="8" t="s">
        <v>2</v>
      </c>
      <c r="D33" s="7">
        <f>D31-D32</f>
        <v>104.83439280900846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Calculadora Valor de Giro</vt:lpstr>
      <vt:lpstr>Copyright</vt:lpstr>
      <vt:lpstr>H1</vt:lpstr>
      <vt:lpstr>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</dc:creator>
  <cp:lastModifiedBy>user</cp:lastModifiedBy>
  <dcterms:created xsi:type="dcterms:W3CDTF">2021-04-02T22:32:31Z</dcterms:created>
  <dcterms:modified xsi:type="dcterms:W3CDTF">2023-02-21T05:28:43Z</dcterms:modified>
</cp:coreProperties>
</file>