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7320\Downloads\"/>
    </mc:Choice>
  </mc:AlternateContent>
  <bookViews>
    <workbookView xWindow="0" yWindow="0" windowWidth="20490" windowHeight="7650" firstSheet="7" activeTab="9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4" l="1"/>
  <c r="P28" i="2" l="1"/>
  <c r="C92" i="7" l="1"/>
  <c r="C2" i="7"/>
  <c r="E27" i="4"/>
  <c r="E9" i="4"/>
  <c r="F22" i="4" l="1"/>
  <c r="E15" i="4"/>
  <c r="E16" i="4"/>
  <c r="H14" i="2"/>
  <c r="H15" i="2"/>
  <c r="E14" i="2"/>
  <c r="E15" i="2"/>
  <c r="D14" i="2"/>
  <c r="D15" i="2"/>
  <c r="C14" i="2"/>
  <c r="C15" i="2"/>
  <c r="N15" i="2" l="1"/>
  <c r="O15" i="2"/>
  <c r="M15" i="2"/>
  <c r="O14" i="2"/>
  <c r="M14" i="2"/>
  <c r="N14" i="2"/>
  <c r="S14" i="2" s="1"/>
  <c r="B6" i="7"/>
  <c r="B50" i="7" s="1"/>
  <c r="T14" i="2" l="1"/>
  <c r="S15" i="2"/>
  <c r="T15" i="2" s="1"/>
  <c r="C50" i="7"/>
  <c r="C18" i="14"/>
  <c r="B18" i="14"/>
  <c r="B30" i="14" s="1"/>
  <c r="C35" i="13"/>
  <c r="O35" i="13" s="1"/>
  <c r="C34" i="13"/>
  <c r="O34" i="13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29" i="12"/>
  <c r="H28" i="12"/>
  <c r="H30" i="12" s="1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L47" i="8" s="1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66" i="3" s="1"/>
  <c r="D57" i="3"/>
  <c r="D58" i="3"/>
  <c r="D59" i="3"/>
  <c r="D60" i="3"/>
  <c r="D61" i="3"/>
  <c r="D62" i="3"/>
  <c r="D63" i="3"/>
  <c r="D64" i="3"/>
  <c r="D65" i="3"/>
  <c r="D54" i="3"/>
  <c r="D27" i="3"/>
  <c r="C27" i="3"/>
  <c r="E41" i="3"/>
  <c r="E40" i="3"/>
  <c r="E39" i="3"/>
  <c r="E38" i="3"/>
  <c r="D64" i="7"/>
  <c r="D63" i="7"/>
  <c r="D62" i="7"/>
  <c r="D61" i="7"/>
  <c r="D56" i="7"/>
  <c r="D33" i="7"/>
  <c r="E33" i="7" s="1"/>
  <c r="B39" i="7"/>
  <c r="H33" i="7"/>
  <c r="H39" i="7" s="1"/>
  <c r="B33" i="7"/>
  <c r="E12" i="7"/>
  <c r="C12" i="7"/>
  <c r="C10" i="7"/>
  <c r="G6" i="7"/>
  <c r="G12" i="7" s="1"/>
  <c r="F6" i="7"/>
  <c r="F47" i="8" l="1"/>
  <c r="I47" i="8"/>
  <c r="O47" i="8"/>
  <c r="D33" i="3"/>
  <c r="E57" i="3" s="1"/>
  <c r="F12" i="7"/>
  <c r="C7" i="8"/>
  <c r="F7" i="8" s="1"/>
  <c r="C47" i="8"/>
  <c r="E39" i="7"/>
  <c r="G33" i="7"/>
  <c r="G39" i="7" s="1"/>
  <c r="E50" i="7"/>
  <c r="C56" i="7"/>
  <c r="E65" i="3" l="1"/>
  <c r="E56" i="3"/>
  <c r="E59" i="3"/>
  <c r="E54" i="3"/>
  <c r="E63" i="3"/>
  <c r="E64" i="3"/>
  <c r="E58" i="3"/>
  <c r="E60" i="3"/>
  <c r="E61" i="3"/>
  <c r="E62" i="3"/>
  <c r="E55" i="3"/>
  <c r="F14" i="8"/>
  <c r="C14" i="8"/>
  <c r="E56" i="7"/>
  <c r="E7" i="8"/>
  <c r="G30" i="14"/>
  <c r="G37" i="14" s="1"/>
  <c r="I7" i="8"/>
  <c r="O7" i="8"/>
  <c r="L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L14" i="8" l="1"/>
  <c r="M40" i="8" s="1"/>
  <c r="E66" i="3"/>
  <c r="I14" i="8"/>
  <c r="J35" i="8" s="1"/>
  <c r="G39" i="8"/>
  <c r="G41" i="8"/>
  <c r="G45" i="8"/>
  <c r="G46" i="8"/>
  <c r="G43" i="8"/>
  <c r="G42" i="8"/>
  <c r="G40" i="8"/>
  <c r="G38" i="8"/>
  <c r="G37" i="8"/>
  <c r="G44" i="8"/>
  <c r="G36" i="8"/>
  <c r="G35" i="8"/>
  <c r="O14" i="8"/>
  <c r="P41" i="8" s="1"/>
  <c r="E14" i="8"/>
  <c r="D8" i="11" s="1"/>
  <c r="F30" i="14"/>
  <c r="F37" i="14" s="1"/>
  <c r="H7" i="8"/>
  <c r="D92" i="7"/>
  <c r="E89" i="7" s="1"/>
  <c r="E44" i="8" s="1"/>
  <c r="L5" i="13" s="1"/>
  <c r="D35" i="8"/>
  <c r="D47" i="8" s="1"/>
  <c r="M37" i="8"/>
  <c r="M39" i="8"/>
  <c r="M35" i="8"/>
  <c r="M36" i="8" l="1"/>
  <c r="M42" i="8"/>
  <c r="M45" i="8"/>
  <c r="M46" i="8"/>
  <c r="M43" i="8"/>
  <c r="M38" i="8"/>
  <c r="M41" i="8"/>
  <c r="M44" i="8"/>
  <c r="P37" i="8"/>
  <c r="P46" i="8"/>
  <c r="P36" i="8"/>
  <c r="J38" i="8"/>
  <c r="J44" i="8"/>
  <c r="J42" i="8"/>
  <c r="P42" i="8"/>
  <c r="P43" i="8"/>
  <c r="P44" i="8"/>
  <c r="G47" i="8"/>
  <c r="J41" i="8"/>
  <c r="J37" i="8"/>
  <c r="P40" i="8"/>
  <c r="P35" i="8"/>
  <c r="P38" i="8"/>
  <c r="J36" i="8"/>
  <c r="J46" i="8"/>
  <c r="J39" i="8"/>
  <c r="J43" i="8"/>
  <c r="P39" i="8"/>
  <c r="P45" i="8"/>
  <c r="J40" i="8"/>
  <c r="J45" i="8"/>
  <c r="E91" i="7"/>
  <c r="E46" i="8" s="1"/>
  <c r="N5" i="13" s="1"/>
  <c r="N10" i="13" s="1"/>
  <c r="N13" i="13" s="1"/>
  <c r="E90" i="7"/>
  <c r="E45" i="8" s="1"/>
  <c r="M5" i="13" s="1"/>
  <c r="M10" i="13" s="1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35" i="8" s="1"/>
  <c r="C5" i="13" s="1"/>
  <c r="E88" i="7"/>
  <c r="E43" i="8" s="1"/>
  <c r="K5" i="13" s="1"/>
  <c r="K10" i="13" s="1"/>
  <c r="K13" i="13" s="1"/>
  <c r="L55" i="13"/>
  <c r="L10" i="13"/>
  <c r="K7" i="8"/>
  <c r="H14" i="8"/>
  <c r="M47" i="8" l="1"/>
  <c r="P47" i="8"/>
  <c r="J47" i="8"/>
  <c r="K11" i="13"/>
  <c r="D13" i="12"/>
  <c r="N11" i="13"/>
  <c r="E11" i="13"/>
  <c r="J24" i="14"/>
  <c r="E30" i="14" s="1"/>
  <c r="E37" i="14" s="1"/>
  <c r="I11" i="13"/>
  <c r="H11" i="13"/>
  <c r="D11" i="13"/>
  <c r="F11" i="13"/>
  <c r="E92" i="7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C11" i="2"/>
  <c r="D16" i="5" l="1"/>
  <c r="E13" i="6" s="1"/>
  <c r="H11" i="6" s="1"/>
  <c r="E10" i="5"/>
  <c r="E11" i="5"/>
  <c r="E12" i="5"/>
  <c r="E13" i="5"/>
  <c r="E14" i="5"/>
  <c r="E15" i="5"/>
  <c r="C20" i="13" s="1"/>
  <c r="E9" i="5"/>
  <c r="E26" i="4"/>
  <c r="E30" i="4"/>
  <c r="E31" i="4"/>
  <c r="E32" i="4"/>
  <c r="E33" i="4"/>
  <c r="E24" i="4"/>
  <c r="G34" i="4"/>
  <c r="F34" i="4"/>
  <c r="C37" i="13" s="1"/>
  <c r="O37" i="13" s="1"/>
  <c r="G22" i="4"/>
  <c r="E14" i="4"/>
  <c r="E13" i="4"/>
  <c r="E10" i="4"/>
  <c r="E11" i="4" s="1"/>
  <c r="D8" i="12" s="1"/>
  <c r="E8" i="12" s="1"/>
  <c r="F8" i="12" s="1"/>
  <c r="G8" i="12" s="1"/>
  <c r="H8" i="12" s="1"/>
  <c r="G11" i="4"/>
  <c r="F11" i="4"/>
  <c r="C23" i="12" l="1"/>
  <c r="C25" i="12" s="1"/>
  <c r="D23" i="12"/>
  <c r="E23" i="12" s="1"/>
  <c r="F23" i="12" s="1"/>
  <c r="G23" i="12" s="1"/>
  <c r="H23" i="12" s="1"/>
  <c r="C36" i="13"/>
  <c r="E22" i="4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G18" i="13"/>
  <c r="K18" i="13"/>
  <c r="C18" i="13"/>
  <c r="I18" i="13"/>
  <c r="M18" i="13"/>
  <c r="D18" i="13"/>
  <c r="H18" i="13"/>
  <c r="L18" i="13"/>
  <c r="E18" i="13"/>
  <c r="F18" i="13"/>
  <c r="J18" i="13"/>
  <c r="N18" i="13"/>
  <c r="G17" i="13"/>
  <c r="G22" i="13" s="1"/>
  <c r="K17" i="13"/>
  <c r="K22" i="13" s="1"/>
  <c r="C17" i="13"/>
  <c r="M17" i="13"/>
  <c r="D17" i="13"/>
  <c r="H17" i="13"/>
  <c r="L17" i="13"/>
  <c r="E17" i="13"/>
  <c r="I17" i="13"/>
  <c r="I22" i="13" s="1"/>
  <c r="F17" i="13"/>
  <c r="F22" i="13" s="1"/>
  <c r="J17" i="13"/>
  <c r="J22" i="13" s="1"/>
  <c r="N17" i="13"/>
  <c r="N22" i="13" s="1"/>
  <c r="G35" i="4"/>
  <c r="C15" i="10" s="1"/>
  <c r="F35" i="4"/>
  <c r="C42" i="13" s="1"/>
  <c r="E16" i="5"/>
  <c r="D13" i="11" s="1"/>
  <c r="E13" i="11" s="1"/>
  <c r="F13" i="11" s="1"/>
  <c r="G13" i="11" s="1"/>
  <c r="H13" i="11" s="1"/>
  <c r="E34" i="4"/>
  <c r="H22" i="13" l="1"/>
  <c r="O20" i="13"/>
  <c r="P20" i="13" s="1"/>
  <c r="Q20" i="13" s="1"/>
  <c r="R20" i="13" s="1"/>
  <c r="S20" i="13" s="1"/>
  <c r="E35" i="4"/>
  <c r="E14" i="6" s="1"/>
  <c r="H13" i="6" s="1"/>
  <c r="D10" i="12"/>
  <c r="E10" i="12" s="1"/>
  <c r="F10" i="12" s="1"/>
  <c r="G10" i="12" s="1"/>
  <c r="H10" i="12" s="1"/>
  <c r="C10" i="12"/>
  <c r="C41" i="13"/>
  <c r="O41" i="13" s="1"/>
  <c r="C23" i="10"/>
  <c r="F22" i="10"/>
  <c r="O42" i="13"/>
  <c r="O36" i="13"/>
  <c r="O39" i="13" s="1"/>
  <c r="C39" i="13"/>
  <c r="D9" i="12"/>
  <c r="C9" i="12"/>
  <c r="D22" i="13"/>
  <c r="E22" i="13"/>
  <c r="M22" i="13"/>
  <c r="L22" i="13"/>
  <c r="C22" i="13"/>
  <c r="O17" i="13"/>
  <c r="O18" i="13"/>
  <c r="P18" i="13" s="1"/>
  <c r="Q18" i="13" s="1"/>
  <c r="R18" i="13" s="1"/>
  <c r="S18" i="13" s="1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6" i="2"/>
  <c r="T17" i="2"/>
  <c r="T18" i="2"/>
  <c r="T19" i="2"/>
  <c r="T20" i="2"/>
  <c r="I21" i="2"/>
  <c r="J21" i="2"/>
  <c r="K21" i="2"/>
  <c r="L21" i="2"/>
  <c r="H12" i="2"/>
  <c r="H13" i="2"/>
  <c r="H11" i="2"/>
  <c r="N11" i="2" s="1"/>
  <c r="E12" i="2"/>
  <c r="E13" i="2"/>
  <c r="E11" i="2"/>
  <c r="D12" i="2"/>
  <c r="D13" i="2"/>
  <c r="D11" i="2"/>
  <c r="C12" i="2"/>
  <c r="C13" i="2"/>
  <c r="N13" i="2" l="1"/>
  <c r="O13" i="2"/>
  <c r="M13" i="2"/>
  <c r="O12" i="2"/>
  <c r="N12" i="2"/>
  <c r="M12" i="2"/>
  <c r="C11" i="12"/>
  <c r="O43" i="13"/>
  <c r="C43" i="13"/>
  <c r="C45" i="13"/>
  <c r="C24" i="10"/>
  <c r="D23" i="10"/>
  <c r="E9" i="12"/>
  <c r="D11" i="12"/>
  <c r="C29" i="12" s="1"/>
  <c r="P17" i="13"/>
  <c r="O22" i="13"/>
  <c r="O31" i="13" s="1"/>
  <c r="O32" i="13" s="1"/>
  <c r="G19" i="3"/>
  <c r="M11" i="2"/>
  <c r="O11" i="2"/>
  <c r="H21" i="2"/>
  <c r="S12" i="2" l="1"/>
  <c r="S13" i="2"/>
  <c r="T13" i="2" s="1"/>
  <c r="M21" i="2"/>
  <c r="T12" i="2"/>
  <c r="E23" i="10"/>
  <c r="C46" i="13"/>
  <c r="C49" i="13" s="1"/>
  <c r="D45" i="13"/>
  <c r="C25" i="10"/>
  <c r="F9" i="12"/>
  <c r="E11" i="12"/>
  <c r="D29" i="12" s="1"/>
  <c r="Q17" i="13"/>
  <c r="P22" i="13"/>
  <c r="P31" i="13" s="1"/>
  <c r="P32" i="13" s="1"/>
  <c r="P50" i="13" s="1"/>
  <c r="P56" i="13" s="1"/>
  <c r="E12" i="6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N21" i="2"/>
  <c r="O21" i="2"/>
  <c r="S11" i="2"/>
  <c r="T11" i="2" s="1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E45" i="13" l="1"/>
  <c r="C26" i="10"/>
  <c r="F23" i="10"/>
  <c r="G9" i="12"/>
  <c r="F11" i="12"/>
  <c r="E29" i="12" s="1"/>
  <c r="R17" i="13"/>
  <c r="Q22" i="13"/>
  <c r="Q31" i="13" s="1"/>
  <c r="Q32" i="13" s="1"/>
  <c r="Q50" i="13" s="1"/>
  <c r="Q56" i="13" s="1"/>
  <c r="F33" i="3"/>
  <c r="D7" i="8"/>
  <c r="E11" i="9"/>
  <c r="D14" i="12"/>
  <c r="D15" i="12"/>
  <c r="E8" i="9"/>
  <c r="S21" i="2"/>
  <c r="T21" i="2"/>
  <c r="F40" i="2"/>
  <c r="D24" i="10" l="1"/>
  <c r="F45" i="13"/>
  <c r="C27" i="10"/>
  <c r="H9" i="12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H10" i="6" s="1"/>
  <c r="G45" i="13" l="1"/>
  <c r="C28" i="10"/>
  <c r="D46" i="13"/>
  <c r="E24" i="10"/>
  <c r="C9" i="14"/>
  <c r="D10" i="11"/>
  <c r="D11" i="11" s="1"/>
  <c r="C6" i="13"/>
  <c r="F66" i="3"/>
  <c r="G14" i="8"/>
  <c r="E9" i="11" s="1"/>
  <c r="J7" i="8"/>
  <c r="G11" i="9"/>
  <c r="F14" i="12"/>
  <c r="G8" i="9"/>
  <c r="F15" i="12"/>
  <c r="E15" i="6"/>
  <c r="C63" i="13" s="1"/>
  <c r="D49" i="13" l="1"/>
  <c r="D50" i="13" s="1"/>
  <c r="D56" i="13" s="1"/>
  <c r="H45" i="13"/>
  <c r="C29" i="10"/>
  <c r="F24" i="10"/>
  <c r="C7" i="14"/>
  <c r="M7" i="8"/>
  <c r="J14" i="8"/>
  <c r="F9" i="11" s="1"/>
  <c r="C25" i="13"/>
  <c r="C30" i="13" s="1"/>
  <c r="C31" i="13" s="1"/>
  <c r="C32" i="13" s="1"/>
  <c r="C50" i="13" s="1"/>
  <c r="C56" i="13" s="1"/>
  <c r="C58" i="13" s="1"/>
  <c r="O6" i="13"/>
  <c r="E10" i="11"/>
  <c r="E11" i="11" s="1"/>
  <c r="D9" i="14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I45" i="13" l="1"/>
  <c r="C30" i="10"/>
  <c r="D25" i="10"/>
  <c r="P7" i="8"/>
  <c r="P14" i="8" s="1"/>
  <c r="H9" i="11" s="1"/>
  <c r="M14" i="8"/>
  <c r="G9" i="11" s="1"/>
  <c r="D57" i="13"/>
  <c r="D58" i="13" s="1"/>
  <c r="C60" i="13"/>
  <c r="D63" i="13" s="1"/>
  <c r="D64" i="13" s="1"/>
  <c r="D7" i="14"/>
  <c r="E9" i="14"/>
  <c r="F10" i="11"/>
  <c r="F11" i="11" s="1"/>
  <c r="G17" i="12"/>
  <c r="G21" i="12" s="1"/>
  <c r="H17" i="12"/>
  <c r="H21" i="12" s="1"/>
  <c r="D17" i="9"/>
  <c r="E7" i="9"/>
  <c r="E46" i="13" l="1"/>
  <c r="E25" i="10"/>
  <c r="J45" i="13"/>
  <c r="C31" i="10"/>
  <c r="E57" i="13"/>
  <c r="D60" i="13"/>
  <c r="E63" i="13" s="1"/>
  <c r="E64" i="13" s="1"/>
  <c r="G10" i="11"/>
  <c r="G11" i="11" s="1"/>
  <c r="F9" i="14"/>
  <c r="E7" i="14"/>
  <c r="H10" i="11"/>
  <c r="H11" i="11" s="1"/>
  <c r="G9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25" i="10" l="1"/>
  <c r="K45" i="13"/>
  <c r="C32" i="10"/>
  <c r="E49" i="13"/>
  <c r="E50" i="13" s="1"/>
  <c r="E56" i="13" s="1"/>
  <c r="E58" i="13" s="1"/>
  <c r="F7" i="14"/>
  <c r="H19" i="11"/>
  <c r="H24" i="12" s="1"/>
  <c r="H25" i="12" s="1"/>
  <c r="H26" i="12" s="1"/>
  <c r="G28" i="12" s="1"/>
  <c r="G30" i="12" s="1"/>
  <c r="G7" i="14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E60" i="13" l="1"/>
  <c r="F63" i="13" s="1"/>
  <c r="F64" i="13" s="1"/>
  <c r="F57" i="13"/>
  <c r="D26" i="10"/>
  <c r="L45" i="13"/>
  <c r="C33" i="10"/>
  <c r="G5" i="14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F26" i="10" l="1"/>
  <c r="N45" i="13"/>
  <c r="C35" i="10"/>
  <c r="F49" i="13"/>
  <c r="F50" i="13" s="1"/>
  <c r="F56" i="13" s="1"/>
  <c r="F58" i="13" s="1"/>
  <c r="C36" i="10" l="1"/>
  <c r="G57" i="13"/>
  <c r="F60" i="13"/>
  <c r="G63" i="13" s="1"/>
  <c r="G64" i="13" s="1"/>
  <c r="D27" i="10"/>
  <c r="O45" i="13"/>
  <c r="G46" i="13" l="1"/>
  <c r="G49" i="13" s="1"/>
  <c r="G50" i="13" s="1"/>
  <c r="G56" i="13" s="1"/>
  <c r="G58" i="13" s="1"/>
  <c r="E27" i="10"/>
  <c r="C37" i="10"/>
  <c r="H57" i="13" l="1"/>
  <c r="G60" i="13"/>
  <c r="H63" i="13" s="1"/>
  <c r="H64" i="13" s="1"/>
  <c r="F27" i="10"/>
  <c r="D28" i="10" s="1"/>
  <c r="C38" i="10"/>
  <c r="H46" i="13" l="1"/>
  <c r="H49" i="13" s="1"/>
  <c r="H50" i="13" s="1"/>
  <c r="H56" i="13" s="1"/>
  <c r="H58" i="13" s="1"/>
  <c r="E28" i="10"/>
  <c r="F28" i="10" s="1"/>
  <c r="D29" i="10" s="1"/>
  <c r="C39" i="10"/>
  <c r="I46" i="13" l="1"/>
  <c r="I49" i="13" s="1"/>
  <c r="I50" i="13" s="1"/>
  <c r="I56" i="13" s="1"/>
  <c r="E29" i="10"/>
  <c r="F29" i="10" s="1"/>
  <c r="D30" i="10" s="1"/>
  <c r="C40" i="10"/>
  <c r="I57" i="13"/>
  <c r="H60" i="13"/>
  <c r="I63" i="13" s="1"/>
  <c r="I64" i="13" s="1"/>
  <c r="I58" i="13" l="1"/>
  <c r="I60" i="13" s="1"/>
  <c r="J63" i="13" s="1"/>
  <c r="J64" i="13" s="1"/>
  <c r="C41" i="10"/>
  <c r="J46" i="13"/>
  <c r="J49" i="13" s="1"/>
  <c r="J50" i="13" s="1"/>
  <c r="J56" i="13" s="1"/>
  <c r="E30" i="10"/>
  <c r="F30" i="10" s="1"/>
  <c r="D31" i="10" s="1"/>
  <c r="J57" i="13" l="1"/>
  <c r="J58" i="13" s="1"/>
  <c r="K46" i="13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L57" i="13" l="1"/>
  <c r="K60" i="13"/>
  <c r="L63" i="13" s="1"/>
  <c r="L64" i="13" s="1"/>
  <c r="M46" i="13"/>
  <c r="M49" i="13" s="1"/>
  <c r="M50" i="13" s="1"/>
  <c r="M56" i="13" s="1"/>
  <c r="E33" i="10"/>
  <c r="F33" i="10" s="1"/>
  <c r="L58" i="13"/>
  <c r="C49" i="10"/>
  <c r="D34" i="10" l="1"/>
  <c r="C50" i="10"/>
  <c r="L60" i="13"/>
  <c r="M63" i="13" s="1"/>
  <c r="M57" i="13"/>
  <c r="C51" i="10" l="1"/>
  <c r="M64" i="13"/>
  <c r="N46" i="13"/>
  <c r="E34" i="10"/>
  <c r="D16" i="11"/>
  <c r="D18" i="11" s="1"/>
  <c r="D19" i="11" s="1"/>
  <c r="M58" i="13"/>
  <c r="O46" i="13" l="1"/>
  <c r="O49" i="13" s="1"/>
  <c r="O50" i="13" s="1"/>
  <c r="O56" i="13" s="1"/>
  <c r="N49" i="13"/>
  <c r="N50" i="13" s="1"/>
  <c r="N56" i="13" s="1"/>
  <c r="C16" i="12"/>
  <c r="C17" i="12" s="1"/>
  <c r="C21" i="12" s="1"/>
  <c r="C26" i="12" s="1"/>
  <c r="F34" i="10"/>
  <c r="M60" i="13"/>
  <c r="N63" i="13" s="1"/>
  <c r="N57" i="13"/>
  <c r="O57" i="13" s="1"/>
  <c r="D24" i="12"/>
  <c r="D25" i="12" s="1"/>
  <c r="C5" i="14"/>
  <c r="C52" i="10"/>
  <c r="O58" i="13" l="1"/>
  <c r="P57" i="13" s="1"/>
  <c r="P58" i="13" s="1"/>
  <c r="C53" i="10"/>
  <c r="N64" i="13"/>
  <c r="C10" i="14" s="1"/>
  <c r="J4" i="7" s="1"/>
  <c r="C11" i="14"/>
  <c r="J5" i="7" s="1"/>
  <c r="U63" i="13"/>
  <c r="N58" i="13"/>
  <c r="N60" i="13" s="1"/>
  <c r="D35" i="10"/>
  <c r="O60" i="13" l="1"/>
  <c r="C54" i="10"/>
  <c r="C55" i="10" s="1"/>
  <c r="C56" i="10" s="1"/>
  <c r="C57" i="10" s="1"/>
  <c r="C58" i="10" s="1"/>
  <c r="P60" i="13"/>
  <c r="Q57" i="13"/>
  <c r="Q58" i="13" s="1"/>
  <c r="E35" i="10"/>
  <c r="Q60" i="13" l="1"/>
  <c r="R57" i="13"/>
  <c r="R58" i="13" s="1"/>
  <c r="F35" i="10"/>
  <c r="C59" i="10"/>
  <c r="D36" i="10" l="1"/>
  <c r="R60" i="13"/>
  <c r="S57" i="13"/>
  <c r="S58" i="13" s="1"/>
  <c r="S60" i="13" s="1"/>
  <c r="C60" i="10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C6" i="14" l="1"/>
  <c r="D26" i="12"/>
  <c r="C28" i="12" s="1"/>
  <c r="C30" i="12" s="1"/>
  <c r="D47" i="10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6" i="14" l="1"/>
  <c r="E26" i="12"/>
  <c r="D28" i="12" s="1"/>
  <c r="D30" i="12" s="1"/>
  <c r="D59" i="10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F16" i="12" l="1"/>
  <c r="F17" i="12" s="1"/>
  <c r="F21" i="12" s="1"/>
  <c r="F70" i="10"/>
  <c r="G24" i="12"/>
  <c r="G25" i="12" s="1"/>
  <c r="G26" i="12" s="1"/>
  <c r="F28" i="12" s="1"/>
  <c r="F30" i="12" s="1"/>
  <c r="F5" i="14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<sst xmlns="http://schemas.openxmlformats.org/spreadsheetml/2006/main" count="537" uniqueCount="351">
  <si>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</si>
  <si>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</si>
  <si>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</si>
  <si>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</si>
  <si>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</si>
  <si>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</si>
  <si>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</si>
  <si>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</si>
  <si>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</si>
  <si>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</si>
  <si>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</si>
  <si>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</si>
  <si>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</si>
  <si>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</si>
  <si>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</si>
  <si>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</si>
  <si>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</si>
  <si>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</si>
  <si>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</si>
  <si>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</si>
  <si>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</si>
  <si>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</si>
  <si>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</si>
  <si>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</si>
  <si>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</si>
  <si>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</si>
  <si>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</si>
  <si>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</si>
  <si>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</si>
  <si>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</si>
  <si>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</si>
  <si>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</si>
  <si>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</si>
  <si>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</si>
  <si>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</si>
  <si>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</si>
  <si>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</si>
  <si>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</si>
  <si>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</si>
  <si>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</si>
  <si>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</si>
  <si>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</si>
  <si>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</si>
  <si>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</si>
  <si>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</si>
  <si>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</si>
  <si>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</si>
  <si>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</si>
  <si>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</si>
  <si>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</si>
  <si>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</si>
  <si>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</si>
  <si>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</si>
  <si>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</si>
  <si>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</si>
  <si>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</si>
  <si>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</si>
  <si>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</si>
  <si>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</si>
  <si>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Total</t>
  </si>
  <si>
    <t>Pagos Parafiscales</t>
  </si>
  <si>
    <t>Costos Nomina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</si>
  <si>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</si>
  <si>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</si>
  <si>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</si>
  <si>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</si>
  <si>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</si>
  <si>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</si>
  <si>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</si>
  <si>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</si>
  <si>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</si>
  <si>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</si>
  <si>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</si>
  <si>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</si>
  <si>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</si>
  <si>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</si>
  <si>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</si>
  <si>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Impresora Multifuncional</t>
  </si>
  <si>
    <t>Total de Inversion</t>
  </si>
  <si>
    <t>Concepto</t>
  </si>
  <si>
    <t>Arriendo</t>
  </si>
  <si>
    <t>Energia</t>
  </si>
  <si>
    <t>Agua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</si>
  <si>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</si>
  <si>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</si>
  <si>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</si>
  <si>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</si>
  <si>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</si>
  <si>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</si>
  <si>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</si>
  <si>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</si>
  <si>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</si>
  <si>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</si>
  <si>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</si>
  <si>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</si>
  <si>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</si>
  <si>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</si>
  <si>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</si>
  <si>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</si>
  <si>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</si>
  <si>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</si>
  <si>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</si>
  <si>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</si>
  <si>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</si>
  <si>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</si>
  <si>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</si>
  <si>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</si>
  <si>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</si>
  <si>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</si>
  <si>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</si>
  <si>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</si>
  <si>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</si>
  <si>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</si>
  <si>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</si>
  <si>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</si>
  <si>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</si>
  <si>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</si>
  <si>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</si>
  <si>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</si>
  <si>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</si>
  <si>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</si>
  <si>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</si>
  <si>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</si>
  <si>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</si>
  <si>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</si>
  <si>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</si>
  <si>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</si>
  <si>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</si>
  <si>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</si>
  <si>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</si>
  <si>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</si>
  <si>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</si>
  <si>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</si>
  <si>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</si>
  <si>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</si>
  <si>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</si>
  <si>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</si>
  <si>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</si>
  <si>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</si>
  <si>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</si>
  <si>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</si>
  <si>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</si>
  <si>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</si>
  <si>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</si>
  <si>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</si>
  <si>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</si>
  <si>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</si>
  <si>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</si>
  <si>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</si>
  <si>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</si>
  <si>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</si>
  <si>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</si>
  <si>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</si>
  <si>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</si>
  <si>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</si>
  <si>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</si>
  <si>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</si>
  <si>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</si>
  <si>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</si>
  <si>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</si>
  <si>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</si>
  <si>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</si>
  <si>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</si>
  <si>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</si>
  <si>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</si>
  <si>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</si>
  <si>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</si>
  <si>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</si>
  <si>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</si>
  <si>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</si>
  <si>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</si>
  <si>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</si>
  <si>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</si>
  <si>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</si>
  <si>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</si>
  <si>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</si>
  <si>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</si>
  <si>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</si>
  <si>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</si>
  <si>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</si>
  <si>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</si>
  <si>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</si>
  <si>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</si>
  <si>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</si>
  <si>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</si>
  <si>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</si>
  <si>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</si>
  <si>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</si>
  <si>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</si>
  <si>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</si>
  <si>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</si>
  <si>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</si>
  <si>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</si>
  <si>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</si>
  <si>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</si>
  <si>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</si>
  <si>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</si>
  <si>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</si>
  <si>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</si>
  <si>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</si>
  <si>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</si>
  <si>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</si>
  <si>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</si>
  <si>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</si>
  <si>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</si>
  <si>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</si>
  <si>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</si>
  <si>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</si>
  <si>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</si>
  <si>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</si>
  <si>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</si>
  <si>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</si>
  <si>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</si>
  <si>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</si>
  <si>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</si>
  <si>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</si>
  <si>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</si>
  <si>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</si>
  <si>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</si>
  <si>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</si>
  <si>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</si>
  <si>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</si>
  <si>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</si>
  <si>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</si>
  <si>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</si>
  <si>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</si>
  <si>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</si>
  <si>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</si>
  <si>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</si>
  <si>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</si>
  <si>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</si>
  <si>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</si>
  <si>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</si>
  <si>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</si>
  <si>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</si>
  <si>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</si>
  <si>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</si>
  <si>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</si>
  <si>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</si>
  <si>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</si>
  <si>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</si>
  <si>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</si>
  <si>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</si>
  <si>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</si>
  <si>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</si>
  <si>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</si>
  <si>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</si>
  <si>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</si>
  <si>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</si>
  <si>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</si>
  <si>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</si>
  <si>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</si>
  <si>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</si>
  <si>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</si>
  <si>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</si>
  <si>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</si>
  <si>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</si>
  <si>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</si>
  <si>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</si>
  <si>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</si>
  <si>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</si>
  <si>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</si>
  <si>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</si>
  <si>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</si>
  <si>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</si>
  <si>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</si>
  <si>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</si>
  <si>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</si>
  <si>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</si>
  <si>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</si>
  <si>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</si>
  <si>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</si>
  <si>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</si>
  <si>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</si>
  <si>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</si>
  <si>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</si>
  <si>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</si>
  <si>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</si>
  <si>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</si>
  <si>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</si>
  <si>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</si>
  <si>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</si>
  <si>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</si>
  <si>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</si>
  <si>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</si>
  <si>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</si>
  <si>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</si>
  <si>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</si>
  <si>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</si>
  <si>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</si>
  <si>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</si>
  <si>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</si>
  <si>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</si>
  <si>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</si>
  <si>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</si>
  <si>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</si>
  <si>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</si>
  <si>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</si>
  <si>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</si>
  <si>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</si>
  <si>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</si>
  <si>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</si>
  <si>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</si>
  <si>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</si>
  <si>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</si>
  <si>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</si>
  <si>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</si>
  <si>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</si>
  <si>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</si>
  <si>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</si>
  <si>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</si>
  <si>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</si>
  <si>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</si>
  <si>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</si>
  <si>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</si>
  <si>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</si>
  <si>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</si>
  <si>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</si>
  <si>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</si>
  <si>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</si>
  <si>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</si>
  <si>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</si>
  <si>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</si>
  <si>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</si>
  <si>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</si>
  <si>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</si>
  <si>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</si>
  <si>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</si>
  <si>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>Bosa</t>
  </si>
  <si>
    <t xml:space="preserve">Computador Escritorio servidor </t>
  </si>
  <si>
    <t>Office 365</t>
  </si>
  <si>
    <t>worbeanch</t>
  </si>
  <si>
    <t>LucidChart</t>
  </si>
  <si>
    <t>Hayder</t>
  </si>
  <si>
    <t>Molina</t>
  </si>
  <si>
    <t xml:space="preserve">Juan </t>
  </si>
  <si>
    <t>David Rondón</t>
  </si>
  <si>
    <t xml:space="preserve">Isabel Alejandra </t>
  </si>
  <si>
    <t>Ureña</t>
  </si>
  <si>
    <t xml:space="preserve">Yesid Arturo </t>
  </si>
  <si>
    <t>Rodríguez</t>
  </si>
  <si>
    <t xml:space="preserve">Fabio Esteban </t>
  </si>
  <si>
    <t>juadrondon@misena.edu.co</t>
  </si>
  <si>
    <t>isaaurea@misena.edu.co</t>
  </si>
  <si>
    <t>yesarodriguez1@misena.edu.co</t>
  </si>
  <si>
    <t>faberodriguez1@misena.edu.co</t>
  </si>
  <si>
    <t xml:space="preserve">Rodriguez Hernandez </t>
  </si>
  <si>
    <t>hemolina35@misena.edu.co</t>
  </si>
  <si>
    <t xml:space="preserve">Computador Escritorio </t>
  </si>
  <si>
    <t>Telefonia e internet</t>
  </si>
  <si>
    <t>logortec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</si>
</sst>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165" fontId="0" fillId="0" borderId="0" xfId="0" applyNumberFormat="1"/>
    <xf numFmtId="0" fontId="10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450000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1530000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1560600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1591812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1623648.24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694400"/>
        <c:axId val="158724864"/>
      </c:barChart>
      <c:catAx>
        <c:axId val="1586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24864"/>
        <c:crosses val="autoZero"/>
        <c:auto val="1"/>
        <c:lblAlgn val="ctr"/>
        <c:lblOffset val="100"/>
        <c:noMultiLvlLbl val="0"/>
      </c:catAx>
      <c:valAx>
        <c:axId val="1587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204000000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210120000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218524800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227265792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91072"/>
        <c:axId val="114292608"/>
      </c:barChart>
      <c:catAx>
        <c:axId val="1142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292608"/>
        <c:crosses val="autoZero"/>
        <c:auto val="1"/>
        <c:lblAlgn val="ctr"/>
        <c:lblOffset val="100"/>
        <c:noMultiLvlLbl val="0"/>
      </c:catAx>
      <c:valAx>
        <c:axId val="114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2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200000000.00000012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203999999.99999997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210119999.99999997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218524799.99999997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227265791.99999997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71296"/>
        <c:axId val="158472832"/>
      </c:barChart>
      <c:catAx>
        <c:axId val="1584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72832"/>
        <c:crosses val="autoZero"/>
        <c:auto val="1"/>
        <c:lblAlgn val="ctr"/>
        <c:lblOffset val="100"/>
        <c:noMultiLvlLbl val="0"/>
      </c:catAx>
      <c:valAx>
        <c:axId val="1584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158222040</c:v>
                </c:pt>
                <c:pt idx="1">
                  <c:v>167715362.40000001</c:v>
                </c:pt>
                <c:pt idx="2">
                  <c:v>176101130.51999998</c:v>
                </c:pt>
                <c:pt idx="3">
                  <c:v>186667198.35120004</c:v>
                </c:pt>
                <c:pt idx="4">
                  <c:v>196000558.26876003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081408"/>
        <c:axId val="158084096"/>
      </c:barChart>
      <c:catAx>
        <c:axId val="1580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084096"/>
        <c:crosses val="autoZero"/>
        <c:auto val="1"/>
        <c:lblAlgn val="ctr"/>
        <c:lblOffset val="100"/>
        <c:noMultiLvlLbl val="0"/>
      </c:catAx>
      <c:valAx>
        <c:axId val="1580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0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/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20</xdr:col>
      <xdr:colOff>25513</xdr:colOff>
      <xdr:row>7</xdr:row>
      <xdr:rowOff>152399</xdr:rowOff>
    </xdr:to>
    <xdr:sp macro="" textlink="">
      <xdr:nvSpPr>
        <xdr:cNvPr id="2" name="Rectángulo 1"/>
        <xdr:cNvSpPr/>
      </xdr:nvSpPr>
      <xdr:spPr>
        <a:xfrm>
          <a:off x="765402" y="910317"/>
          <a:ext cx="25173214" cy="551770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/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/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/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/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berodriguez1@misena.edu.co" TargetMode="External"/><Relationship Id="rId2" Type="http://schemas.openxmlformats.org/officeDocument/2006/relationships/hyperlink" Target="mailto:yesarodriguez1@misena.edu.co" TargetMode="External"/><Relationship Id="rId1" Type="http://schemas.openxmlformats.org/officeDocument/2006/relationships/hyperlink" Target="mailto:isaaurea@misena.edu.co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emolina35@misena.edu.c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zoomScaleNormal="100" workbookViewId="0">
      <selection activeCell="C11" sqref="C11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6" bestFit="1" customWidth="1"/>
    <col min="8" max="8" width="14.5703125" customWidth="1"/>
    <col min="9" max="9" width="30.710937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2"/>
      <c r="C7" s="122"/>
      <c r="D7" s="122"/>
      <c r="E7" s="122"/>
      <c r="F7" s="122"/>
      <c r="G7" s="122"/>
      <c r="H7" s="122"/>
      <c r="I7" s="122"/>
    </row>
    <row r="8" spans="2:14" x14ac:dyDescent="0.25">
      <c r="B8" s="122"/>
      <c r="C8" s="122"/>
      <c r="D8" s="122"/>
      <c r="E8" s="122"/>
      <c r="F8" s="122"/>
      <c r="G8" s="122"/>
      <c r="H8" s="122"/>
      <c r="I8" s="122"/>
    </row>
    <row r="9" spans="2:14" x14ac:dyDescent="0.25">
      <c r="B9" s="123"/>
      <c r="C9" s="123"/>
      <c r="D9" s="123"/>
      <c r="E9" s="123"/>
      <c r="F9" s="123"/>
      <c r="G9" s="123"/>
      <c r="H9" s="123"/>
      <c r="I9" s="123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333</v>
      </c>
      <c r="D11" s="1" t="s">
        <v>334</v>
      </c>
      <c r="E11" s="1" t="s">
        <v>17</v>
      </c>
      <c r="F11" s="1" t="s">
        <v>16</v>
      </c>
      <c r="G11" s="1"/>
      <c r="H11" s="1">
        <v>3023296795</v>
      </c>
      <c r="I11" s="4" t="s">
        <v>347</v>
      </c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 t="s">
        <v>335</v>
      </c>
      <c r="D12" s="1" t="s">
        <v>336</v>
      </c>
      <c r="E12" s="1" t="s">
        <v>17</v>
      </c>
      <c r="F12" s="1" t="s">
        <v>16</v>
      </c>
      <c r="G12" s="1"/>
      <c r="H12" s="1">
        <v>3204563351</v>
      </c>
      <c r="I12" s="4" t="s">
        <v>342</v>
      </c>
      <c r="M12" t="s">
        <v>12</v>
      </c>
      <c r="N12" t="s">
        <v>18</v>
      </c>
    </row>
    <row r="13" spans="2:14" x14ac:dyDescent="0.25">
      <c r="B13" s="3">
        <v>3</v>
      </c>
      <c r="C13" s="1" t="s">
        <v>337</v>
      </c>
      <c r="D13" s="1" t="s">
        <v>338</v>
      </c>
      <c r="E13" s="1" t="s">
        <v>17</v>
      </c>
      <c r="F13" s="1" t="s">
        <v>16</v>
      </c>
      <c r="G13" s="1"/>
      <c r="H13" s="1">
        <v>3143247052</v>
      </c>
      <c r="I13" s="4" t="s">
        <v>343</v>
      </c>
      <c r="M13" t="s">
        <v>13</v>
      </c>
      <c r="N13" t="s">
        <v>19</v>
      </c>
    </row>
    <row r="14" spans="2:14" x14ac:dyDescent="0.25">
      <c r="B14" s="3">
        <v>4</v>
      </c>
      <c r="C14" s="1" t="s">
        <v>339</v>
      </c>
      <c r="D14" s="1" t="s">
        <v>340</v>
      </c>
      <c r="E14" s="1" t="s">
        <v>17</v>
      </c>
      <c r="F14" s="1" t="s">
        <v>16</v>
      </c>
      <c r="G14" s="1"/>
      <c r="H14" s="1">
        <v>3114665547</v>
      </c>
      <c r="I14" s="4" t="s">
        <v>344</v>
      </c>
      <c r="M14" t="s">
        <v>14</v>
      </c>
    </row>
    <row r="15" spans="2:14" x14ac:dyDescent="0.25">
      <c r="B15" s="3">
        <v>5</v>
      </c>
      <c r="C15" s="121" t="s">
        <v>341</v>
      </c>
      <c r="D15" s="1" t="s">
        <v>346</v>
      </c>
      <c r="E15" s="1" t="s">
        <v>17</v>
      </c>
      <c r="F15" s="1" t="s">
        <v>16</v>
      </c>
      <c r="G15" s="1"/>
      <c r="H15" s="1">
        <v>3212528450</v>
      </c>
      <c r="I15" s="4" t="s">
        <v>345</v>
      </c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4">
    <dataValidation type="list" allowBlank="1" showInputMessage="1" showErrorMessage="1" sqref="E16:E20">
      <formula1>$L$10:$L$11</formula1>
    </dataValidation>
    <dataValidation type="list" allowBlank="1" showInputMessage="1" showErrorMessage="1" sqref="F16:F20">
      <formula1>$M$10:$M$14</formula1>
    </dataValidation>
    <dataValidation type="list" allowBlank="1" showInputMessage="1" showErrorMessage="1" sqref="G16:G20">
      <formula1>$N$10:$N$13</formula1>
    </dataValidation>
    <dataValidation type="list" allowBlank="1" showInputMessage="1" showErrorMessage="1" sqref="E11:F15">
      <formula1>$N$10:$N$14</formula1>
    </dataValidation>
  </dataValidations>
  <hyperlinks>
    <hyperlink ref="I13" r:id="rId1"/>
    <hyperlink ref="I14" r:id="rId2"/>
    <hyperlink ref="I15" r:id="rId3"/>
    <hyperlink ref="I11" r:id="rId4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5:G70"/>
  <sheetViews>
    <sheetView tabSelected="1" topLeftCell="A11" zoomScale="86" zoomScaleNormal="86" workbookViewId="0">
      <selection activeCell="C20" sqref="C20"/>
    </sheetView>
  </sheetViews>
  <sheetFormatPr baseColWidth="10" defaultRowHeight="15" x14ac:dyDescent="0.25"/>
  <cols>
    <col min="2" max="2" width="34.7109375" bestFit="1" customWidth="1"/>
    <col min="3" max="3" width="16.5703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30" t="s">
        <v>177</v>
      </c>
      <c r="C5" s="130"/>
      <c r="D5" s="130"/>
      <c r="E5" s="130"/>
      <c r="F5" s="130"/>
      <c r="G5" s="130"/>
    </row>
    <row r="7" spans="2:7" x14ac:dyDescent="0.25">
      <c r="B7" s="84"/>
      <c r="C7" s="84"/>
    </row>
    <row r="8" spans="2:7" x14ac:dyDescent="0.25">
      <c r="B8" s="74"/>
      <c r="C8" s="74"/>
    </row>
    <row r="9" spans="2:7" x14ac:dyDescent="0.25">
      <c r="B9" s="130" t="s">
        <v>178</v>
      </c>
      <c r="C9" s="130"/>
    </row>
    <row r="10" spans="2:7" x14ac:dyDescent="0.25">
      <c r="B10" s="74"/>
      <c r="C10" s="74"/>
    </row>
    <row r="11" spans="2:7" x14ac:dyDescent="0.25">
      <c r="B11" s="31" t="s">
        <v>79</v>
      </c>
      <c r="C11" s="31" t="s">
        <v>179</v>
      </c>
    </row>
    <row r="12" spans="2:7" x14ac:dyDescent="0.25">
      <c r="B12" s="31" t="s">
        <v>180</v>
      </c>
      <c r="C12" s="83"/>
    </row>
    <row r="13" spans="2:7" x14ac:dyDescent="0.25">
      <c r="B13" s="31" t="s">
        <v>181</v>
      </c>
      <c r="C13" s="85">
        <v>0.19</v>
      </c>
    </row>
    <row r="14" spans="2:7" x14ac:dyDescent="0.25">
      <c r="B14" s="74"/>
      <c r="C14" s="75"/>
    </row>
    <row r="15" spans="2:7" x14ac:dyDescent="0.25">
      <c r="B15" s="31" t="s">
        <v>182</v>
      </c>
      <c r="C15" s="119">
        <f>'Plan de Inversion'!G35</f>
        <v>980000</v>
      </c>
    </row>
    <row r="16" spans="2:7" x14ac:dyDescent="0.25">
      <c r="B16" s="31" t="s">
        <v>183</v>
      </c>
      <c r="C16" s="86">
        <f>(1+C18)^(12)-1</f>
        <v>0.16765177626913008</v>
      </c>
    </row>
    <row r="17" spans="2:6" x14ac:dyDescent="0.25">
      <c r="B17" s="31" t="s">
        <v>184</v>
      </c>
      <c r="C17" s="87">
        <f>C18*12</f>
        <v>0.156</v>
      </c>
    </row>
    <row r="18" spans="2:6" x14ac:dyDescent="0.25">
      <c r="B18" s="31" t="s">
        <v>185</v>
      </c>
      <c r="C18" s="85">
        <v>1.2999999999999999E-2</v>
      </c>
    </row>
    <row r="19" spans="2:6" x14ac:dyDescent="0.25">
      <c r="B19" s="31" t="s">
        <v>186</v>
      </c>
      <c r="C19" s="83">
        <v>48</v>
      </c>
    </row>
    <row r="21" spans="2:6" x14ac:dyDescent="0.25">
      <c r="B21" s="34" t="s">
        <v>187</v>
      </c>
      <c r="C21" s="34" t="s">
        <v>188</v>
      </c>
      <c r="D21" s="34" t="s">
        <v>189</v>
      </c>
      <c r="E21" s="34" t="s">
        <v>190</v>
      </c>
      <c r="F21" s="34" t="s">
        <v>191</v>
      </c>
    </row>
    <row r="22" spans="2:6" x14ac:dyDescent="0.25">
      <c r="B22" s="34">
        <v>0</v>
      </c>
      <c r="C22" s="34"/>
      <c r="D22" s="34"/>
      <c r="E22" s="34"/>
      <c r="F22" s="88">
        <f>+C15</f>
        <v>980000</v>
      </c>
    </row>
    <row r="23" spans="2:6" x14ac:dyDescent="0.25">
      <c r="B23" s="32">
        <v>1</v>
      </c>
      <c r="C23" s="89">
        <f>-PMT(C18,C19,C15)</f>
        <v>27573.121731834264</v>
      </c>
      <c r="D23" s="90">
        <f>+F22*$C$18</f>
        <v>12740</v>
      </c>
      <c r="E23" s="89">
        <f>+C23-D23</f>
        <v>14833.121731834264</v>
      </c>
      <c r="F23" s="90">
        <f>F22-E23</f>
        <v>965166.87826816575</v>
      </c>
    </row>
    <row r="24" spans="2:6" x14ac:dyDescent="0.25">
      <c r="B24" s="32">
        <v>2</v>
      </c>
      <c r="C24" s="89">
        <f>IF(B24&gt;C19,"",+C23)</f>
        <v>27573.121731834264</v>
      </c>
      <c r="D24" s="90">
        <f t="shared" ref="D24:D70" si="0">+F23*$C$18</f>
        <v>12547.169417486155</v>
      </c>
      <c r="E24" s="89">
        <f t="shared" ref="E24:E70" si="1">+C24-D24</f>
        <v>15025.952314348109</v>
      </c>
      <c r="F24" s="90">
        <f>F23-E24</f>
        <v>950140.92595381767</v>
      </c>
    </row>
    <row r="25" spans="2:6" x14ac:dyDescent="0.25">
      <c r="B25" s="32">
        <v>3</v>
      </c>
      <c r="C25" s="89">
        <f>IF(B25&gt;C19,"",+C24)</f>
        <v>27573.121731834264</v>
      </c>
      <c r="D25" s="90">
        <f t="shared" si="0"/>
        <v>12351.832037399628</v>
      </c>
      <c r="E25" s="89">
        <f t="shared" si="1"/>
        <v>15221.289694434636</v>
      </c>
      <c r="F25" s="90">
        <f t="shared" ref="F25:F57" si="2">F24-E25</f>
        <v>934919.63625938306</v>
      </c>
    </row>
    <row r="26" spans="2:6" x14ac:dyDescent="0.25">
      <c r="B26" s="32">
        <v>4</v>
      </c>
      <c r="C26" s="89">
        <f>IF(B26&gt;C19,"",+C25)</f>
        <v>27573.121731834264</v>
      </c>
      <c r="D26" s="90">
        <f t="shared" si="0"/>
        <v>12153.955271371979</v>
      </c>
      <c r="E26" s="89">
        <f t="shared" si="1"/>
        <v>15419.166460462286</v>
      </c>
      <c r="F26" s="90">
        <f t="shared" si="2"/>
        <v>919500.46979892079</v>
      </c>
    </row>
    <row r="27" spans="2:6" x14ac:dyDescent="0.25">
      <c r="B27" s="32">
        <v>5</v>
      </c>
      <c r="C27" s="89">
        <f>IF(B27&gt;C19,"",+C26)</f>
        <v>27573.121731834264</v>
      </c>
      <c r="D27" s="90">
        <f t="shared" si="0"/>
        <v>11953.506107385971</v>
      </c>
      <c r="E27" s="89">
        <f t="shared" si="1"/>
        <v>15619.615624448294</v>
      </c>
      <c r="F27" s="90">
        <f t="shared" si="2"/>
        <v>903880.85417447251</v>
      </c>
    </row>
    <row r="28" spans="2:6" x14ac:dyDescent="0.25">
      <c r="B28" s="32">
        <v>6</v>
      </c>
      <c r="C28" s="89">
        <f>IF(B28&gt;C19,"",+C27)</f>
        <v>27573.121731834264</v>
      </c>
      <c r="D28" s="90">
        <f t="shared" si="0"/>
        <v>11750.451104268142</v>
      </c>
      <c r="E28" s="89">
        <f t="shared" si="1"/>
        <v>15822.670627566122</v>
      </c>
      <c r="F28" s="90">
        <f t="shared" si="2"/>
        <v>888058.18354690634</v>
      </c>
    </row>
    <row r="29" spans="2:6" x14ac:dyDescent="0.25">
      <c r="B29" s="32">
        <v>7</v>
      </c>
      <c r="C29" s="89">
        <f>IF(B29&gt;C19,"",+C28)</f>
        <v>27573.121731834264</v>
      </c>
      <c r="D29" s="90">
        <f t="shared" si="0"/>
        <v>11544.756386109782</v>
      </c>
      <c r="E29" s="89">
        <f t="shared" si="1"/>
        <v>16028.365345724482</v>
      </c>
      <c r="F29" s="90">
        <f t="shared" si="2"/>
        <v>872029.81820118183</v>
      </c>
    </row>
    <row r="30" spans="2:6" x14ac:dyDescent="0.25">
      <c r="B30" s="32">
        <v>8</v>
      </c>
      <c r="C30" s="89">
        <f>IF(B30&gt;C19,"",+C29)</f>
        <v>27573.121731834264</v>
      </c>
      <c r="D30" s="90">
        <f t="shared" si="0"/>
        <v>11336.387636615364</v>
      </c>
      <c r="E30" s="89">
        <f t="shared" si="1"/>
        <v>16236.734095218901</v>
      </c>
      <c r="F30" s="90">
        <f t="shared" si="2"/>
        <v>855793.08410596289</v>
      </c>
    </row>
    <row r="31" spans="2:6" x14ac:dyDescent="0.25">
      <c r="B31" s="32">
        <v>9</v>
      </c>
      <c r="C31" s="89">
        <f>IF(B31&gt;C19,"",+C30)</f>
        <v>27573.121731834264</v>
      </c>
      <c r="D31" s="90">
        <f t="shared" si="0"/>
        <v>11125.310093377517</v>
      </c>
      <c r="E31" s="89">
        <f t="shared" si="1"/>
        <v>16447.811638456747</v>
      </c>
      <c r="F31" s="90">
        <f t="shared" si="2"/>
        <v>839345.27246750612</v>
      </c>
    </row>
    <row r="32" spans="2:6" x14ac:dyDescent="0.25">
      <c r="B32" s="32">
        <v>10</v>
      </c>
      <c r="C32" s="89">
        <f>IF(B32&gt;C19,"",+C31)</f>
        <v>27573.121731834264</v>
      </c>
      <c r="D32" s="90">
        <f t="shared" si="0"/>
        <v>10911.488542077579</v>
      </c>
      <c r="E32" s="89">
        <f t="shared" si="1"/>
        <v>16661.633189756685</v>
      </c>
      <c r="F32" s="90">
        <f t="shared" si="2"/>
        <v>822683.63927774946</v>
      </c>
    </row>
    <row r="33" spans="2:6" x14ac:dyDescent="0.25">
      <c r="B33" s="32">
        <v>11</v>
      </c>
      <c r="C33" s="89">
        <f>IF(B33&gt;C19,"",+C32)</f>
        <v>27573.121731834264</v>
      </c>
      <c r="D33" s="90">
        <f t="shared" si="0"/>
        <v>10694.887310610742</v>
      </c>
      <c r="E33" s="89">
        <f t="shared" si="1"/>
        <v>16878.234421223522</v>
      </c>
      <c r="F33" s="90">
        <f t="shared" si="2"/>
        <v>805805.40485652594</v>
      </c>
    </row>
    <row r="34" spans="2:6" x14ac:dyDescent="0.25">
      <c r="B34" s="32">
        <v>12</v>
      </c>
      <c r="C34" s="89">
        <f>IF(B34&gt;C19,"",+C33)</f>
        <v>27573.121731834264</v>
      </c>
      <c r="D34" s="90">
        <f t="shared" si="0"/>
        <v>10475.470263134837</v>
      </c>
      <c r="E34" s="89">
        <f t="shared" si="1"/>
        <v>17097.651468699427</v>
      </c>
      <c r="F34" s="90">
        <f t="shared" si="2"/>
        <v>788707.75338782649</v>
      </c>
    </row>
    <row r="35" spans="2:6" x14ac:dyDescent="0.25">
      <c r="B35" s="32">
        <v>13</v>
      </c>
      <c r="C35" s="89">
        <f>IF(B35&gt;C19,"",+C34)</f>
        <v>27573.121731834264</v>
      </c>
      <c r="D35" s="90">
        <f t="shared" si="0"/>
        <v>10253.200794041744</v>
      </c>
      <c r="E35" s="89">
        <f t="shared" si="1"/>
        <v>17319.920937792522</v>
      </c>
      <c r="F35" s="90">
        <f t="shared" si="2"/>
        <v>771387.83245003398</v>
      </c>
    </row>
    <row r="36" spans="2:6" x14ac:dyDescent="0.25">
      <c r="B36" s="32">
        <v>14</v>
      </c>
      <c r="C36" s="89">
        <f>IF(B36&gt;C19,"",+C35)</f>
        <v>27573.121731834264</v>
      </c>
      <c r="D36" s="90">
        <f t="shared" si="0"/>
        <v>10028.041821850442</v>
      </c>
      <c r="E36" s="89">
        <f t="shared" si="1"/>
        <v>17545.079909983822</v>
      </c>
      <c r="F36" s="90">
        <f t="shared" si="2"/>
        <v>753842.75254005019</v>
      </c>
    </row>
    <row r="37" spans="2:6" x14ac:dyDescent="0.25">
      <c r="B37" s="32">
        <v>15</v>
      </c>
      <c r="C37" s="89">
        <f>IF(B37&gt;C19,"",+C36)</f>
        <v>27573.121731834264</v>
      </c>
      <c r="D37" s="90">
        <f t="shared" si="0"/>
        <v>9799.9557830206522</v>
      </c>
      <c r="E37" s="89">
        <f t="shared" si="1"/>
        <v>17773.165948813614</v>
      </c>
      <c r="F37" s="90">
        <f t="shared" si="2"/>
        <v>736069.58659123653</v>
      </c>
    </row>
    <row r="38" spans="2:6" x14ac:dyDescent="0.25">
      <c r="B38" s="32">
        <v>16</v>
      </c>
      <c r="C38" s="89">
        <f>IF(B38&gt;C19,"",+C37)</f>
        <v>27573.121731834264</v>
      </c>
      <c r="D38" s="90">
        <f t="shared" si="0"/>
        <v>9568.9046256860747</v>
      </c>
      <c r="E38" s="89">
        <f t="shared" si="1"/>
        <v>18004.217106148189</v>
      </c>
      <c r="F38" s="90">
        <f t="shared" si="2"/>
        <v>718065.36948508839</v>
      </c>
    </row>
    <row r="39" spans="2:6" x14ac:dyDescent="0.25">
      <c r="B39" s="32">
        <v>17</v>
      </c>
      <c r="C39" s="89">
        <f>IF(B39&gt;C19,"",+C38)</f>
        <v>27573.121731834264</v>
      </c>
      <c r="D39" s="90">
        <f t="shared" si="0"/>
        <v>9334.8498033061478</v>
      </c>
      <c r="E39" s="89">
        <f t="shared" si="1"/>
        <v>18238.271928528116</v>
      </c>
      <c r="F39" s="90">
        <f t="shared" si="2"/>
        <v>699827.0975565603</v>
      </c>
    </row>
    <row r="40" spans="2:6" x14ac:dyDescent="0.25">
      <c r="B40" s="32">
        <v>18</v>
      </c>
      <c r="C40" s="89">
        <f>IF(B40&gt;C19,"",+C39)</f>
        <v>27573.121731834264</v>
      </c>
      <c r="D40" s="90">
        <f t="shared" si="0"/>
        <v>9097.7522682352828</v>
      </c>
      <c r="E40" s="89">
        <f t="shared" si="1"/>
        <v>18475.369463598981</v>
      </c>
      <c r="F40" s="90">
        <f t="shared" si="2"/>
        <v>681351.72809296136</v>
      </c>
    </row>
    <row r="41" spans="2:6" x14ac:dyDescent="0.25">
      <c r="B41" s="32">
        <v>19</v>
      </c>
      <c r="C41" s="89">
        <f>IF(B41&gt;C19,"",+C40)</f>
        <v>27573.121731834264</v>
      </c>
      <c r="D41" s="90">
        <f t="shared" si="0"/>
        <v>8857.5724652084973</v>
      </c>
      <c r="E41" s="89">
        <f t="shared" si="1"/>
        <v>18715.549266625767</v>
      </c>
      <c r="F41" s="90">
        <f t="shared" si="2"/>
        <v>662636.17882633558</v>
      </c>
    </row>
    <row r="42" spans="2:6" x14ac:dyDescent="0.25">
      <c r="B42" s="32">
        <v>20</v>
      </c>
      <c r="C42" s="89">
        <f>IF(B42&gt;C19,"",+C41)</f>
        <v>27573.121731834264</v>
      </c>
      <c r="D42" s="90">
        <f t="shared" si="0"/>
        <v>8614.2703247423615</v>
      </c>
      <c r="E42" s="89">
        <f t="shared" si="1"/>
        <v>18958.851407091905</v>
      </c>
      <c r="F42" s="90">
        <f t="shared" si="2"/>
        <v>643677.32741924364</v>
      </c>
    </row>
    <row r="43" spans="2:6" x14ac:dyDescent="0.25">
      <c r="B43" s="32">
        <v>21</v>
      </c>
      <c r="C43" s="89">
        <f>IF(B43&gt;C19,"",+C42)</f>
        <v>27573.121731834264</v>
      </c>
      <c r="D43" s="90">
        <f t="shared" si="0"/>
        <v>8367.8052564501668</v>
      </c>
      <c r="E43" s="89">
        <f t="shared" si="1"/>
        <v>19205.316475384097</v>
      </c>
      <c r="F43" s="90">
        <f t="shared" si="2"/>
        <v>624472.01094385958</v>
      </c>
    </row>
    <row r="44" spans="2:6" x14ac:dyDescent="0.25">
      <c r="B44" s="32">
        <v>22</v>
      </c>
      <c r="C44" s="89">
        <f>IF(B44&gt;C19,"",+C43)</f>
        <v>27573.121731834264</v>
      </c>
      <c r="D44" s="90">
        <f t="shared" si="0"/>
        <v>8118.1361422701739</v>
      </c>
      <c r="E44" s="89">
        <f t="shared" si="1"/>
        <v>19454.98558956409</v>
      </c>
      <c r="F44" s="90">
        <f t="shared" si="2"/>
        <v>605017.0253542955</v>
      </c>
    </row>
    <row r="45" spans="2:6" x14ac:dyDescent="0.25">
      <c r="B45" s="32">
        <v>23</v>
      </c>
      <c r="C45" s="89">
        <f>IF(B45&gt;C19,"",+C44)</f>
        <v>27573.121731834264</v>
      </c>
      <c r="D45" s="90">
        <f t="shared" si="0"/>
        <v>7865.2213296058408</v>
      </c>
      <c r="E45" s="89">
        <f t="shared" si="1"/>
        <v>19707.900402228424</v>
      </c>
      <c r="F45" s="90">
        <f t="shared" si="2"/>
        <v>585309.12495206704</v>
      </c>
    </row>
    <row r="46" spans="2:6" x14ac:dyDescent="0.25">
      <c r="B46" s="32">
        <v>24</v>
      </c>
      <c r="C46" s="89">
        <f>IF(B46&gt;C19,"",+C45)</f>
        <v>27573.121731834264</v>
      </c>
      <c r="D46" s="90">
        <f t="shared" si="0"/>
        <v>7609.0186243768712</v>
      </c>
      <c r="E46" s="89">
        <f t="shared" si="1"/>
        <v>19964.103107457391</v>
      </c>
      <c r="F46" s="90">
        <f t="shared" si="2"/>
        <v>565345.02184460964</v>
      </c>
    </row>
    <row r="47" spans="2:6" x14ac:dyDescent="0.25">
      <c r="B47" s="32">
        <v>25</v>
      </c>
      <c r="C47" s="89">
        <f>IF(B47&gt;C19,"",+C46)</f>
        <v>27573.121731834264</v>
      </c>
      <c r="D47" s="90">
        <f t="shared" si="0"/>
        <v>7349.485283979925</v>
      </c>
      <c r="E47" s="89">
        <f t="shared" si="1"/>
        <v>20223.63644785434</v>
      </c>
      <c r="F47" s="90">
        <f t="shared" si="2"/>
        <v>545121.3853967553</v>
      </c>
    </row>
    <row r="48" spans="2:6" x14ac:dyDescent="0.25">
      <c r="B48" s="32">
        <v>26</v>
      </c>
      <c r="C48" s="89">
        <f>IF(B48&gt;C19,"",+C47)</f>
        <v>27573.121731834264</v>
      </c>
      <c r="D48" s="90">
        <f t="shared" si="0"/>
        <v>7086.5780101578184</v>
      </c>
      <c r="E48" s="89">
        <f t="shared" si="1"/>
        <v>20486.543721676448</v>
      </c>
      <c r="F48" s="90">
        <f t="shared" si="2"/>
        <v>524634.84167507885</v>
      </c>
    </row>
    <row r="49" spans="2:6" x14ac:dyDescent="0.25">
      <c r="B49" s="32">
        <v>27</v>
      </c>
      <c r="C49" s="89">
        <f>IF(B49&gt;C19,"",+C48)</f>
        <v>27573.121731834264</v>
      </c>
      <c r="D49" s="90">
        <f t="shared" si="0"/>
        <v>6820.2529417760243</v>
      </c>
      <c r="E49" s="89">
        <f t="shared" si="1"/>
        <v>20752.868790058241</v>
      </c>
      <c r="F49" s="90">
        <f t="shared" si="2"/>
        <v>503881.9728850206</v>
      </c>
    </row>
    <row r="50" spans="2:6" x14ac:dyDescent="0.25">
      <c r="B50" s="32">
        <v>28</v>
      </c>
      <c r="C50" s="89">
        <f>IF(B50&gt;C19,"",+C49)</f>
        <v>27573.121731834264</v>
      </c>
      <c r="D50" s="90">
        <f t="shared" si="0"/>
        <v>6550.465647505268</v>
      </c>
      <c r="E50" s="89">
        <f t="shared" si="1"/>
        <v>21022.656084328995</v>
      </c>
      <c r="F50" s="90">
        <f t="shared" si="2"/>
        <v>482859.31680069159</v>
      </c>
    </row>
    <row r="51" spans="2:6" x14ac:dyDescent="0.25">
      <c r="B51" s="32">
        <v>29</v>
      </c>
      <c r="C51" s="89">
        <f>IF(B51&gt;C19,"",+C50)</f>
        <v>27573.121731834264</v>
      </c>
      <c r="D51" s="90">
        <f t="shared" si="0"/>
        <v>6277.1711184089909</v>
      </c>
      <c r="E51" s="89">
        <f t="shared" si="1"/>
        <v>21295.950613425273</v>
      </c>
      <c r="F51" s="90">
        <f t="shared" si="2"/>
        <v>461563.36618726631</v>
      </c>
    </row>
    <row r="52" spans="2:6" x14ac:dyDescent="0.25">
      <c r="B52" s="32">
        <v>30</v>
      </c>
      <c r="C52" s="89">
        <f>IF(B52&gt;C19,"",+C51)</f>
        <v>27573.121731834264</v>
      </c>
      <c r="D52" s="90">
        <f t="shared" si="0"/>
        <v>6000.3237604344613</v>
      </c>
      <c r="E52" s="89">
        <f t="shared" si="1"/>
        <v>21572.797971399803</v>
      </c>
      <c r="F52" s="90">
        <f t="shared" si="2"/>
        <v>439990.56821586651</v>
      </c>
    </row>
    <row r="53" spans="2:6" x14ac:dyDescent="0.25">
      <c r="B53" s="32">
        <v>31</v>
      </c>
      <c r="C53" s="89">
        <f>IF(B53&gt;C19,"",+C52)</f>
        <v>27573.121731834264</v>
      </c>
      <c r="D53" s="90">
        <f t="shared" si="0"/>
        <v>5719.8773868062644</v>
      </c>
      <c r="E53" s="89">
        <f t="shared" si="1"/>
        <v>21853.244345028001</v>
      </c>
      <c r="F53" s="90">
        <f t="shared" si="2"/>
        <v>418137.3238708385</v>
      </c>
    </row>
    <row r="54" spans="2:6" x14ac:dyDescent="0.25">
      <c r="B54" s="32">
        <v>32</v>
      </c>
      <c r="C54" s="89">
        <f>IF(B54&gt;C19,"",+C53)</f>
        <v>27573.121731834264</v>
      </c>
      <c r="D54" s="90">
        <f t="shared" si="0"/>
        <v>5435.7852103209007</v>
      </c>
      <c r="E54" s="89">
        <f t="shared" si="1"/>
        <v>22137.336521513364</v>
      </c>
      <c r="F54" s="90">
        <f t="shared" si="2"/>
        <v>395999.98734932515</v>
      </c>
    </row>
    <row r="55" spans="2:6" x14ac:dyDescent="0.25">
      <c r="B55" s="32">
        <v>33</v>
      </c>
      <c r="C55" s="89">
        <f>IF(B55&gt;C19,"",+C54)</f>
        <v>27573.121731834264</v>
      </c>
      <c r="D55" s="90">
        <f t="shared" si="0"/>
        <v>5147.9998355412263</v>
      </c>
      <c r="E55" s="89">
        <f t="shared" si="1"/>
        <v>22425.121896293036</v>
      </c>
      <c r="F55" s="90">
        <f t="shared" si="2"/>
        <v>373574.86545303214</v>
      </c>
    </row>
    <row r="56" spans="2:6" x14ac:dyDescent="0.25">
      <c r="B56" s="32">
        <v>34</v>
      </c>
      <c r="C56" s="89">
        <f>IF(B56&gt;C19,"",+C55)</f>
        <v>27573.121731834264</v>
      </c>
      <c r="D56" s="90">
        <f t="shared" si="0"/>
        <v>4856.4732508894176</v>
      </c>
      <c r="E56" s="89">
        <f t="shared" si="1"/>
        <v>22716.648480944845</v>
      </c>
      <c r="F56" s="90">
        <f t="shared" si="2"/>
        <v>350858.21697208728</v>
      </c>
    </row>
    <row r="57" spans="2:6" x14ac:dyDescent="0.25">
      <c r="B57" s="32">
        <v>35</v>
      </c>
      <c r="C57" s="89">
        <f>IF(B57&gt;C19,"",+C56)</f>
        <v>27573.121731834264</v>
      </c>
      <c r="D57" s="90">
        <f t="shared" si="0"/>
        <v>4561.1568206371348</v>
      </c>
      <c r="E57" s="89">
        <f t="shared" si="1"/>
        <v>23011.96491119713</v>
      </c>
      <c r="F57" s="90">
        <f t="shared" si="2"/>
        <v>327846.25206089014</v>
      </c>
    </row>
    <row r="58" spans="2:6" x14ac:dyDescent="0.25">
      <c r="B58" s="32">
        <v>36</v>
      </c>
      <c r="C58" s="89">
        <f>IF(B58&gt;C19,"",+C57)</f>
        <v>27573.121731834264</v>
      </c>
      <c r="D58" s="90">
        <f t="shared" si="0"/>
        <v>4262.0012767915714</v>
      </c>
      <c r="E58" s="89">
        <f t="shared" si="1"/>
        <v>23311.120455042692</v>
      </c>
      <c r="F58" s="90">
        <f>F57-E58</f>
        <v>304535.13160584745</v>
      </c>
    </row>
    <row r="59" spans="2:6" x14ac:dyDescent="0.25">
      <c r="B59" s="32">
        <v>37</v>
      </c>
      <c r="C59" s="89">
        <f>IF(B59&gt;C19,"",+C58)</f>
        <v>27573.121731834264</v>
      </c>
      <c r="D59" s="90">
        <f t="shared" si="0"/>
        <v>3958.9567108760166</v>
      </c>
      <c r="E59" s="89">
        <f t="shared" si="1"/>
        <v>23614.165020958248</v>
      </c>
      <c r="F59" s="90">
        <f t="shared" ref="F59:F70" si="3">F58-E59</f>
        <v>280920.96658488922</v>
      </c>
    </row>
    <row r="60" spans="2:6" x14ac:dyDescent="0.25">
      <c r="B60" s="32">
        <v>38</v>
      </c>
      <c r="C60" s="89">
        <f>IF(B60&gt;C19,"",+C59)</f>
        <v>27573.121731834264</v>
      </c>
      <c r="D60" s="90">
        <f t="shared" si="0"/>
        <v>3651.9725656035598</v>
      </c>
      <c r="E60" s="89">
        <f t="shared" si="1"/>
        <v>23921.149166230705</v>
      </c>
      <c r="F60" s="90">
        <f t="shared" si="3"/>
        <v>256999.81741865852</v>
      </c>
    </row>
    <row r="61" spans="2:6" x14ac:dyDescent="0.25">
      <c r="B61" s="32">
        <v>39</v>
      </c>
      <c r="C61" s="89">
        <f>IF(B61&gt;C19,"",+C60)</f>
        <v>27573.121731834264</v>
      </c>
      <c r="D61" s="90">
        <f t="shared" si="0"/>
        <v>3340.9976264425604</v>
      </c>
      <c r="E61" s="89">
        <f t="shared" si="1"/>
        <v>24232.124105391704</v>
      </c>
      <c r="F61" s="90">
        <f t="shared" si="3"/>
        <v>232767.69331326682</v>
      </c>
    </row>
    <row r="62" spans="2:6" x14ac:dyDescent="0.25">
      <c r="B62" s="32">
        <v>40</v>
      </c>
      <c r="C62" s="89">
        <f>IF(B62&gt;C19,"",+C61)</f>
        <v>27573.121731834264</v>
      </c>
      <c r="D62" s="90">
        <f t="shared" si="0"/>
        <v>3025.9800130724684</v>
      </c>
      <c r="E62" s="89">
        <f t="shared" si="1"/>
        <v>24547.141718761795</v>
      </c>
      <c r="F62" s="90">
        <f t="shared" si="3"/>
        <v>208220.55159450503</v>
      </c>
    </row>
    <row r="63" spans="2:6" x14ac:dyDescent="0.25">
      <c r="B63" s="32">
        <v>41</v>
      </c>
      <c r="C63" s="89">
        <f>IF(B63&gt;C19,"",+C62)</f>
        <v>27573.121731834264</v>
      </c>
      <c r="D63" s="90">
        <f t="shared" si="0"/>
        <v>2706.8671707285653</v>
      </c>
      <c r="E63" s="89">
        <f t="shared" si="1"/>
        <v>24866.254561105699</v>
      </c>
      <c r="F63" s="90">
        <f t="shared" si="3"/>
        <v>183354.29703339934</v>
      </c>
    </row>
    <row r="64" spans="2:6" x14ac:dyDescent="0.25">
      <c r="B64" s="32">
        <v>42</v>
      </c>
      <c r="C64" s="89">
        <f>IF(B64&gt;C19,"",+C63)</f>
        <v>27573.121731834264</v>
      </c>
      <c r="D64" s="90">
        <f t="shared" si="0"/>
        <v>2383.6058614341914</v>
      </c>
      <c r="E64" s="89">
        <f t="shared" si="1"/>
        <v>25189.515870400071</v>
      </c>
      <c r="F64" s="90">
        <f t="shared" si="3"/>
        <v>158164.78116299928</v>
      </c>
    </row>
    <row r="65" spans="2:6" x14ac:dyDescent="0.25">
      <c r="B65" s="32">
        <v>43</v>
      </c>
      <c r="C65" s="89">
        <f>IF(B65&gt;C19,"",+C64)</f>
        <v>27573.121731834264</v>
      </c>
      <c r="D65" s="90">
        <f t="shared" si="0"/>
        <v>2056.1421551189906</v>
      </c>
      <c r="E65" s="89">
        <f t="shared" si="1"/>
        <v>25516.979576715275</v>
      </c>
      <c r="F65" s="90">
        <f t="shared" si="3"/>
        <v>132647.80158628401</v>
      </c>
    </row>
    <row r="66" spans="2:6" x14ac:dyDescent="0.25">
      <c r="B66" s="32">
        <v>44</v>
      </c>
      <c r="C66" s="89">
        <f>IF(B66&gt;C19,"",+C65)</f>
        <v>27573.121731834264</v>
      </c>
      <c r="D66" s="90">
        <f t="shared" si="0"/>
        <v>1724.4214206216921</v>
      </c>
      <c r="E66" s="89">
        <f t="shared" si="1"/>
        <v>25848.700311212571</v>
      </c>
      <c r="F66" s="90">
        <f t="shared" si="3"/>
        <v>106799.10127507144</v>
      </c>
    </row>
    <row r="67" spans="2:6" x14ac:dyDescent="0.25">
      <c r="B67" s="32">
        <v>45</v>
      </c>
      <c r="C67" s="89">
        <f>IF(B67&gt;C19,"",+C66)</f>
        <v>27573.121731834264</v>
      </c>
      <c r="D67" s="90">
        <f t="shared" si="0"/>
        <v>1388.3883165759287</v>
      </c>
      <c r="E67" s="89">
        <f t="shared" si="1"/>
        <v>26184.733415258335</v>
      </c>
      <c r="F67" s="90">
        <f t="shared" si="3"/>
        <v>80614.367859813108</v>
      </c>
    </row>
    <row r="68" spans="2:6" x14ac:dyDescent="0.25">
      <c r="B68" s="32">
        <v>46</v>
      </c>
      <c r="C68" s="89">
        <f>IF(B68&gt;C19,"",+C67)</f>
        <v>27573.121731834264</v>
      </c>
      <c r="D68" s="90">
        <f t="shared" si="0"/>
        <v>1047.9867821775704</v>
      </c>
      <c r="E68" s="89">
        <f t="shared" si="1"/>
        <v>26525.134949656695</v>
      </c>
      <c r="F68" s="90">
        <f t="shared" si="3"/>
        <v>54089.23291015641</v>
      </c>
    </row>
    <row r="69" spans="2:6" x14ac:dyDescent="0.25">
      <c r="B69" s="32">
        <v>47</v>
      </c>
      <c r="C69" s="89">
        <f>IF(B69&gt;C19,"",+C68)</f>
        <v>27573.121731834264</v>
      </c>
      <c r="D69" s="90">
        <f t="shared" si="0"/>
        <v>703.16002783203328</v>
      </c>
      <c r="E69" s="89">
        <f t="shared" si="1"/>
        <v>26869.961704002231</v>
      </c>
      <c r="F69" s="90">
        <f t="shared" si="3"/>
        <v>27219.271206154179</v>
      </c>
    </row>
    <row r="70" spans="2:6" x14ac:dyDescent="0.25">
      <c r="B70" s="32">
        <v>48</v>
      </c>
      <c r="C70" s="89">
        <f>IF(B70&gt;C19,"",+C69)</f>
        <v>27573.121731834264</v>
      </c>
      <c r="D70" s="90">
        <f t="shared" si="0"/>
        <v>353.8505256800043</v>
      </c>
      <c r="E70" s="89">
        <f t="shared" si="1"/>
        <v>27219.271206154259</v>
      </c>
      <c r="F70" s="90">
        <f t="shared" si="3"/>
        <v>-8.0035533756017685E-11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workbookViewId="0">
      <selection activeCell="G16" sqref="G16"/>
    </sheetView>
  </sheetViews>
  <sheetFormatPr baseColWidth="10" defaultRowHeight="15" x14ac:dyDescent="0.25"/>
  <cols>
    <col min="3" max="3" width="29.7109375" bestFit="1" customWidth="1"/>
    <col min="4" max="7" width="20.28515625" bestFit="1" customWidth="1"/>
    <col min="8" max="8" width="18.28515625" bestFit="1" customWidth="1"/>
  </cols>
  <sheetData>
    <row r="4" spans="3:8" x14ac:dyDescent="0.25">
      <c r="D4" s="91"/>
      <c r="E4" s="91"/>
    </row>
    <row r="5" spans="3:8" x14ac:dyDescent="0.25">
      <c r="D5" s="91"/>
      <c r="E5" s="91"/>
    </row>
    <row r="6" spans="3:8" x14ac:dyDescent="0.25">
      <c r="D6" s="91"/>
      <c r="E6" s="91"/>
    </row>
    <row r="7" spans="3:8" x14ac:dyDescent="0.25">
      <c r="C7" s="93" t="s">
        <v>79</v>
      </c>
      <c r="D7" s="95" t="s">
        <v>137</v>
      </c>
      <c r="E7" s="95" t="s">
        <v>124</v>
      </c>
      <c r="F7" s="94" t="s">
        <v>125</v>
      </c>
      <c r="G7" s="94" t="s">
        <v>126</v>
      </c>
      <c r="H7" s="94" t="s">
        <v>127</v>
      </c>
    </row>
    <row r="8" spans="3:8" x14ac:dyDescent="0.25">
      <c r="C8" s="1" t="s">
        <v>172</v>
      </c>
      <c r="D8" s="7">
        <f>'Presupuesto de compras y ventas'!E14</f>
        <v>200000000</v>
      </c>
      <c r="E8" s="7">
        <f>'Presupuesto de compras y ventas'!H14</f>
        <v>204000000</v>
      </c>
      <c r="F8" s="7">
        <f>'Presupuesto de compras y ventas'!K14</f>
        <v>210120000</v>
      </c>
      <c r="G8" s="7">
        <f>'Presupuesto de compras y ventas'!N14</f>
        <v>218524800</v>
      </c>
      <c r="H8" s="7">
        <f>'Presupuesto de compras y ventas'!Q14</f>
        <v>227265792</v>
      </c>
    </row>
    <row r="9" spans="3:8" x14ac:dyDescent="0.25">
      <c r="C9" s="1" t="s">
        <v>192</v>
      </c>
      <c r="D9" s="7">
        <f>'Presupuesto de compras y ventas'!D14</f>
        <v>1500000</v>
      </c>
      <c r="E9" s="7">
        <f>'Presupuesto de compras y ventas'!G14</f>
        <v>1530000</v>
      </c>
      <c r="F9" s="7">
        <f>'Presupuesto de compras y ventas'!J14</f>
        <v>1560600</v>
      </c>
      <c r="G9" s="7">
        <f>'Presupuesto de compras y ventas'!M14</f>
        <v>1591812</v>
      </c>
      <c r="H9" s="7">
        <f>'Presupuesto de compras y ventas'!P14</f>
        <v>1623648.24</v>
      </c>
    </row>
    <row r="10" spans="3:8" x14ac:dyDescent="0.25">
      <c r="C10" s="93" t="s">
        <v>193</v>
      </c>
      <c r="D10" s="70">
        <f>SUM(D8:D9)</f>
        <v>201500000</v>
      </c>
      <c r="E10" s="70">
        <f>SUM(E8:E9)</f>
        <v>205530000</v>
      </c>
      <c r="F10" s="70">
        <f>SUM(F8:F9)</f>
        <v>211680600</v>
      </c>
      <c r="G10" s="70">
        <f>SUM(G8:G9)</f>
        <v>220116612</v>
      </c>
      <c r="H10" s="70">
        <f>SUM(H8:H9)</f>
        <v>228889440.24000001</v>
      </c>
    </row>
    <row r="11" spans="3:8" x14ac:dyDescent="0.25">
      <c r="C11" s="93" t="s">
        <v>194</v>
      </c>
      <c r="D11" s="70">
        <f>D8-D10</f>
        <v>-1500000</v>
      </c>
      <c r="E11" s="70">
        <f>E8-E10</f>
        <v>-1530000</v>
      </c>
      <c r="F11" s="70">
        <f>F8-F10</f>
        <v>-1560600</v>
      </c>
      <c r="G11" s="70">
        <f>G8-G10</f>
        <v>-1591812</v>
      </c>
      <c r="H11" s="70">
        <f>H8-H10</f>
        <v>-1623648.2400000095</v>
      </c>
    </row>
    <row r="12" spans="3:8" x14ac:dyDescent="0.25">
      <c r="C12" s="1" t="s">
        <v>96</v>
      </c>
      <c r="D12" s="7">
        <f>'Presupuesto de Costos y G año 1'!D17</f>
        <v>158222040</v>
      </c>
      <c r="E12" s="7">
        <f>'Presupuesto de Costos y G año 1'!E17</f>
        <v>167715362.40000001</v>
      </c>
      <c r="F12" s="7">
        <f>'Presupuesto de Costos y G año 1'!F17</f>
        <v>176101130.51999998</v>
      </c>
      <c r="G12" s="7">
        <f>'Presupuesto de Costos y G año 1'!G17</f>
        <v>186667198.35120004</v>
      </c>
      <c r="H12" s="7">
        <f>'Presupuesto de Costos y G año 1'!H17</f>
        <v>196000558.26876003</v>
      </c>
    </row>
    <row r="13" spans="3:8" x14ac:dyDescent="0.25">
      <c r="C13" s="96" t="s">
        <v>196</v>
      </c>
      <c r="D13" s="97">
        <f>'Costos de Administracion'!E16</f>
        <v>10248000</v>
      </c>
      <c r="E13" s="97">
        <f>D13*'Costos de Administracion'!E20</f>
        <v>10657920</v>
      </c>
      <c r="F13" s="97">
        <f>E13*'Costos de Administracion'!E20</f>
        <v>11084236.800000001</v>
      </c>
      <c r="G13" s="97">
        <f>F13*'Costos de Administracion'!E20</f>
        <v>11527606.272000002</v>
      </c>
      <c r="H13" s="97">
        <f>G13*'Costos de Administracion'!E20</f>
        <v>11988710.522880003</v>
      </c>
    </row>
    <row r="14" spans="3:8" x14ac:dyDescent="0.25">
      <c r="C14" s="93" t="s">
        <v>296</v>
      </c>
      <c r="D14" s="70">
        <f>SUM(D12:D13)</f>
        <v>168470040</v>
      </c>
      <c r="E14" s="70">
        <f t="shared" ref="E14:H14" si="0">SUM(E12:E13)</f>
        <v>178373282.40000001</v>
      </c>
      <c r="F14" s="70">
        <f t="shared" si="0"/>
        <v>187185367.31999999</v>
      </c>
      <c r="G14" s="70">
        <f t="shared" si="0"/>
        <v>198194804.62320006</v>
      </c>
      <c r="H14" s="70">
        <f t="shared" si="0"/>
        <v>207989268.79164004</v>
      </c>
    </row>
    <row r="15" spans="3:8" x14ac:dyDescent="0.25">
      <c r="C15" s="93" t="s">
        <v>297</v>
      </c>
      <c r="D15" s="70">
        <f>D11-D14</f>
        <v>-169970040</v>
      </c>
      <c r="E15" s="70">
        <f t="shared" ref="E15:H15" si="1">E11-E14</f>
        <v>-179903282.40000001</v>
      </c>
      <c r="F15" s="70">
        <f t="shared" si="1"/>
        <v>-188745967.31999999</v>
      </c>
      <c r="G15" s="70">
        <f t="shared" si="1"/>
        <v>-199786616.62320006</v>
      </c>
      <c r="H15" s="70">
        <f t="shared" si="1"/>
        <v>-209612917.03164005</v>
      </c>
    </row>
    <row r="16" spans="3:8" x14ac:dyDescent="0.25">
      <c r="C16" s="83" t="s">
        <v>195</v>
      </c>
      <c r="D16" s="7">
        <f>SUM(Creditos!D23:D34)</f>
        <v>139585.21416983771</v>
      </c>
      <c r="E16" s="7">
        <f>SUM(Creditos!D35:D46)</f>
        <v>107514.72923879426</v>
      </c>
      <c r="F16" s="7">
        <f>SUM(Creditos!D47:D58)</f>
        <v>70067.570543249007</v>
      </c>
      <c r="G16" s="7">
        <f>SUM(Creditos!D58:D70)</f>
        <v>30604.330452955157</v>
      </c>
      <c r="H16" s="7">
        <v>0</v>
      </c>
    </row>
    <row r="17" spans="3:8" x14ac:dyDescent="0.25">
      <c r="C17" s="83" t="s">
        <v>199</v>
      </c>
      <c r="D17" s="1"/>
      <c r="E17" s="1"/>
      <c r="F17" s="1"/>
      <c r="G17" s="1"/>
      <c r="H17" s="1"/>
    </row>
    <row r="18" spans="3:8" x14ac:dyDescent="0.25">
      <c r="C18" s="93" t="s">
        <v>200</v>
      </c>
      <c r="D18" s="99">
        <f>SUM(D16:D17)</f>
        <v>139585.21416983771</v>
      </c>
      <c r="E18" s="99">
        <f t="shared" ref="E18:H18" si="2">SUM(E16:E17)</f>
        <v>107514.72923879426</v>
      </c>
      <c r="F18" s="99">
        <f t="shared" si="2"/>
        <v>70067.570543249007</v>
      </c>
      <c r="G18" s="99">
        <f t="shared" si="2"/>
        <v>30604.330452955157</v>
      </c>
      <c r="H18" s="99">
        <f t="shared" si="2"/>
        <v>0</v>
      </c>
    </row>
    <row r="19" spans="3:8" x14ac:dyDescent="0.25">
      <c r="C19" s="93" t="s">
        <v>201</v>
      </c>
      <c r="D19" s="99">
        <f>D11-D18</f>
        <v>-1639585.2141698378</v>
      </c>
      <c r="E19" s="99">
        <f t="shared" ref="E19:H19" si="3">E11-E18</f>
        <v>-1637514.7292387942</v>
      </c>
      <c r="F19" s="99">
        <f t="shared" si="3"/>
        <v>-1630667.5705432489</v>
      </c>
      <c r="G19" s="99">
        <f t="shared" si="3"/>
        <v>-1622416.3304529551</v>
      </c>
      <c r="H19" s="99">
        <f t="shared" si="3"/>
        <v>-1623648.2400000095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0"/>
  <sheetViews>
    <sheetView topLeftCell="A15" workbookViewId="0">
      <selection activeCell="C28" sqref="C28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3" t="s">
        <v>202</v>
      </c>
      <c r="C6" s="94" t="s">
        <v>219</v>
      </c>
      <c r="D6" s="94" t="s">
        <v>137</v>
      </c>
      <c r="E6" s="94" t="s">
        <v>124</v>
      </c>
      <c r="F6" s="94" t="s">
        <v>125</v>
      </c>
      <c r="G6" s="94" t="s">
        <v>126</v>
      </c>
      <c r="H6" s="94" t="s">
        <v>127</v>
      </c>
    </row>
    <row r="7" spans="2:8" x14ac:dyDescent="0.25">
      <c r="B7" s="144" t="s">
        <v>203</v>
      </c>
      <c r="C7" s="144"/>
      <c r="D7" s="144"/>
      <c r="E7" s="144"/>
      <c r="F7" s="144"/>
      <c r="G7" s="144"/>
      <c r="H7" s="144"/>
    </row>
    <row r="8" spans="2:8" x14ac:dyDescent="0.25">
      <c r="B8" s="1" t="s">
        <v>203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75</v>
      </c>
      <c r="C9" s="7">
        <f>'Plan de Inversion'!E22</f>
        <v>1050000</v>
      </c>
      <c r="D9" s="9">
        <f>'Plan de Inversion'!E22</f>
        <v>1050000</v>
      </c>
      <c r="E9" s="9">
        <f t="shared" si="0"/>
        <v>1050000</v>
      </c>
      <c r="F9" s="9">
        <f t="shared" si="0"/>
        <v>1050000</v>
      </c>
      <c r="G9" s="9">
        <f t="shared" si="0"/>
        <v>1050000</v>
      </c>
      <c r="H9" s="9">
        <f t="shared" si="0"/>
        <v>1050000</v>
      </c>
    </row>
    <row r="10" spans="2:8" x14ac:dyDescent="0.25">
      <c r="B10" s="1" t="s">
        <v>76</v>
      </c>
      <c r="C10" s="7">
        <f>'Plan de Inversion'!E34</f>
        <v>9030000</v>
      </c>
      <c r="D10" s="9">
        <f>'Plan de Inversion'!E34</f>
        <v>9030000</v>
      </c>
      <c r="E10" s="9">
        <f t="shared" si="0"/>
        <v>9030000</v>
      </c>
      <c r="F10" s="9">
        <f t="shared" si="0"/>
        <v>9030000</v>
      </c>
      <c r="G10" s="9">
        <f t="shared" si="0"/>
        <v>9030000</v>
      </c>
      <c r="H10" s="9">
        <f t="shared" si="0"/>
        <v>9030000</v>
      </c>
    </row>
    <row r="11" spans="2:8" x14ac:dyDescent="0.25">
      <c r="B11" s="93" t="s">
        <v>204</v>
      </c>
      <c r="C11" s="99">
        <f>SUM(C8:C10)</f>
        <v>10080000</v>
      </c>
      <c r="D11" s="99">
        <f>SUM(D8:D10)</f>
        <v>10080000</v>
      </c>
      <c r="E11" s="99">
        <f t="shared" ref="E11:H11" si="1">SUM(E8:E10)</f>
        <v>10080000</v>
      </c>
      <c r="F11" s="99">
        <f t="shared" si="1"/>
        <v>10080000</v>
      </c>
      <c r="G11" s="99">
        <f t="shared" si="1"/>
        <v>10080000</v>
      </c>
      <c r="H11" s="99">
        <f t="shared" si="1"/>
        <v>10080000</v>
      </c>
    </row>
    <row r="12" spans="2:8" x14ac:dyDescent="0.25">
      <c r="B12" s="144" t="s">
        <v>213</v>
      </c>
      <c r="C12" s="144"/>
      <c r="D12" s="144"/>
      <c r="E12" s="144"/>
      <c r="F12" s="144"/>
      <c r="G12" s="144"/>
      <c r="H12" s="144"/>
    </row>
    <row r="13" spans="2:8" x14ac:dyDescent="0.25">
      <c r="B13" s="1" t="s">
        <v>205</v>
      </c>
      <c r="C13" s="1"/>
      <c r="D13" s="7">
        <f>('Presupuesto de ventas'!E90+'Presupuesto de ventas'!E91)*19%</f>
        <v>6333333.3333333349</v>
      </c>
      <c r="E13" s="9">
        <f>('Presupuesto de compras y ventas'!H45+'Presupuesto de compras y ventas'!H46)*19%</f>
        <v>6459999.9999999991</v>
      </c>
      <c r="F13" s="9">
        <f>('Presupuesto de compras y ventas'!K45+'Presupuesto de compras y ventas'!K46)*19%</f>
        <v>6653799.9999999991</v>
      </c>
      <c r="G13" s="7">
        <f>('Presupuesto de compras y ventas'!N45+'Presupuesto de compras y ventas'!N46)*19%</f>
        <v>6919951.9999999991</v>
      </c>
      <c r="H13" s="7">
        <f>('Presupuesto de compras y ventas'!Q45+'Presupuesto de compras y ventas'!Q46)*19%</f>
        <v>7196750.0799999982</v>
      </c>
    </row>
    <row r="14" spans="2:8" x14ac:dyDescent="0.25">
      <c r="B14" s="1" t="s">
        <v>206</v>
      </c>
      <c r="C14" s="1"/>
      <c r="D14" s="9">
        <f>'Presupuesto de Costos y G año 1'!D11+'Presupuesto de Costos y G año 1'!D14</f>
        <v>10140000</v>
      </c>
      <c r="E14" s="9">
        <f>'Presupuesto de Costos y G año 1'!E11+'Presupuesto de Costos y G año 1'!E14</f>
        <v>10748400</v>
      </c>
      <c r="F14" s="9">
        <f>'Presupuesto de Costos y G año 1'!F11+'Presupuesto de Costos y G año 1'!F14</f>
        <v>11285820</v>
      </c>
      <c r="G14" s="9">
        <f>'Presupuesto de Costos y G año 1'!G11+'Presupuesto de Costos y G año 1'!G14</f>
        <v>11962969.200000001</v>
      </c>
      <c r="H14" s="9">
        <f>'Presupuesto de Costos y G año 1'!H11+'Presupuesto de Costos y G año 1'!H14</f>
        <v>12561117.660000002</v>
      </c>
    </row>
    <row r="15" spans="2:8" x14ac:dyDescent="0.25">
      <c r="B15" s="1" t="s">
        <v>207</v>
      </c>
      <c r="C15" s="1"/>
      <c r="D15" s="9">
        <f>SUM('Presupuesto de Costos y G año 1'!D8:D12)/12</f>
        <v>1917500</v>
      </c>
      <c r="E15" s="9">
        <f>SUM('Presupuesto de Costos y G año 1'!E8:E12)/12</f>
        <v>2032550</v>
      </c>
      <c r="F15" s="9">
        <f>SUM('Presupuesto de Costos y G año 1'!F8:F12)/12</f>
        <v>2134177.5</v>
      </c>
      <c r="G15" s="9">
        <f>SUM('Presupuesto de Costos y G año 1'!G8:G12)/12</f>
        <v>2262228.1500000004</v>
      </c>
      <c r="H15" s="9">
        <f>SUM('Presupuesto de Costos y G año 1'!H8:H12)/12</f>
        <v>2375339.5575000006</v>
      </c>
    </row>
    <row r="16" spans="2:8" x14ac:dyDescent="0.25">
      <c r="B16" s="83" t="s">
        <v>208</v>
      </c>
      <c r="C16" s="24">
        <f>SUM(Creditos!E23:E34)</f>
        <v>191292.24661217348</v>
      </c>
      <c r="D16" s="24">
        <f>SUM(Creditos!E34:E46)</f>
        <v>240460.38301191639</v>
      </c>
      <c r="E16" s="24">
        <f>SUM(Creditos!E47:E58)</f>
        <v>260809.89023876219</v>
      </c>
      <c r="F16" s="24">
        <f>SUM(Creditos!E59:E70)</f>
        <v>304535.13160584762</v>
      </c>
      <c r="G16" s="24">
        <v>0</v>
      </c>
      <c r="H16" s="24">
        <v>0</v>
      </c>
    </row>
    <row r="17" spans="2:8" x14ac:dyDescent="0.25">
      <c r="B17" s="93" t="s">
        <v>209</v>
      </c>
      <c r="C17" s="70">
        <f>SUM(C13:C16)</f>
        <v>191292.24661217348</v>
      </c>
      <c r="D17" s="99">
        <f>SUM(D13:D16)</f>
        <v>18631293.716345251</v>
      </c>
      <c r="E17" s="99">
        <f t="shared" ref="E17:H17" si="2">SUM(E13:E16)</f>
        <v>19501759.890238762</v>
      </c>
      <c r="F17" s="99">
        <f t="shared" si="2"/>
        <v>20378332.631605849</v>
      </c>
      <c r="G17" s="99">
        <f t="shared" si="2"/>
        <v>21145149.350000001</v>
      </c>
      <c r="H17" s="99">
        <f t="shared" si="2"/>
        <v>22133207.297500003</v>
      </c>
    </row>
    <row r="18" spans="2:8" x14ac:dyDescent="0.25">
      <c r="B18" s="83" t="s">
        <v>208</v>
      </c>
      <c r="C18" s="83"/>
      <c r="D18" s="1"/>
      <c r="E18" s="1"/>
      <c r="F18" s="1"/>
      <c r="G18" s="1"/>
      <c r="H18" s="1"/>
    </row>
    <row r="19" spans="2:8" x14ac:dyDescent="0.25">
      <c r="B19" s="83" t="s">
        <v>210</v>
      </c>
      <c r="C19" s="83"/>
      <c r="D19" s="1"/>
      <c r="E19" s="1"/>
      <c r="F19" s="1"/>
      <c r="G19" s="1"/>
      <c r="H19" s="1"/>
    </row>
    <row r="20" spans="2:8" x14ac:dyDescent="0.25">
      <c r="B20" s="93" t="s">
        <v>211</v>
      </c>
      <c r="C20" s="93">
        <f>SUM(C18:C19)</f>
        <v>0</v>
      </c>
      <c r="D20" s="93">
        <f>SUM(D18:D19)</f>
        <v>0</v>
      </c>
      <c r="E20" s="93">
        <f t="shared" ref="E20:H20" si="3">SUM(E18:E19)</f>
        <v>0</v>
      </c>
      <c r="F20" s="93">
        <f t="shared" si="3"/>
        <v>0</v>
      </c>
      <c r="G20" s="93">
        <f t="shared" si="3"/>
        <v>0</v>
      </c>
      <c r="H20" s="93">
        <f t="shared" si="3"/>
        <v>0</v>
      </c>
    </row>
    <row r="21" spans="2:8" x14ac:dyDescent="0.25">
      <c r="B21" s="93" t="s">
        <v>212</v>
      </c>
      <c r="C21" s="99">
        <f>SUM(C17+C20)</f>
        <v>191292.24661217348</v>
      </c>
      <c r="D21" s="99">
        <f>SUM(D17+D20)</f>
        <v>18631293.716345251</v>
      </c>
      <c r="E21" s="99">
        <f t="shared" ref="E21:H21" si="4">SUM(E17+E20)</f>
        <v>19501759.890238762</v>
      </c>
      <c r="F21" s="99">
        <f t="shared" si="4"/>
        <v>20378332.631605849</v>
      </c>
      <c r="G21" s="99">
        <f t="shared" si="4"/>
        <v>21145149.350000001</v>
      </c>
      <c r="H21" s="99">
        <f t="shared" si="4"/>
        <v>22133207.297500003</v>
      </c>
    </row>
    <row r="22" spans="2:8" x14ac:dyDescent="0.25">
      <c r="B22" s="144" t="s">
        <v>214</v>
      </c>
      <c r="C22" s="144"/>
      <c r="D22" s="144"/>
      <c r="E22" s="144"/>
      <c r="F22" s="144"/>
      <c r="G22" s="144"/>
      <c r="H22" s="144"/>
    </row>
    <row r="23" spans="2:8" x14ac:dyDescent="0.25">
      <c r="B23" s="1" t="s">
        <v>190</v>
      </c>
      <c r="C23" s="9">
        <f>SUM('Plan de Inversion'!F22+'Plan de Inversion'!F11+'Plan de Inversion'!F34)</f>
        <v>9000000</v>
      </c>
      <c r="D23" s="9">
        <f>SUM('Plan de Inversion'!F22+'Plan de Inversion'!F11+'Plan de Inversion'!F34)</f>
        <v>9000000</v>
      </c>
      <c r="E23" s="9">
        <f>D23</f>
        <v>9000000</v>
      </c>
      <c r="F23" s="9">
        <f>E23</f>
        <v>9000000</v>
      </c>
      <c r="G23" s="9">
        <f>F23</f>
        <v>9000000</v>
      </c>
      <c r="H23" s="9">
        <f>G23</f>
        <v>9000000</v>
      </c>
    </row>
    <row r="24" spans="2:8" x14ac:dyDescent="0.25">
      <c r="B24" s="1" t="s">
        <v>215</v>
      </c>
      <c r="C24" s="1"/>
      <c r="D24" s="9">
        <f>'Estado de Perdida y Ganancias'!D19</f>
        <v>-1639585.2141698378</v>
      </c>
      <c r="E24" s="9">
        <f>'Estado de Perdida y Ganancias'!E19</f>
        <v>-1637514.7292387942</v>
      </c>
      <c r="F24" s="9">
        <f>'Estado de Perdida y Ganancias'!F19</f>
        <v>-1630667.5705432489</v>
      </c>
      <c r="G24" s="9">
        <f>'Estado de Perdida y Ganancias'!G19</f>
        <v>-1622416.3304529551</v>
      </c>
      <c r="H24" s="9">
        <f>'Estado de Perdida y Ganancias'!H19</f>
        <v>-1623648.2400000095</v>
      </c>
    </row>
    <row r="25" spans="2:8" x14ac:dyDescent="0.25">
      <c r="B25" s="93" t="s">
        <v>216</v>
      </c>
      <c r="C25" s="99">
        <f>SUM(C23:C24)</f>
        <v>9000000</v>
      </c>
      <c r="D25" s="99">
        <f>SUM(D23:D24)</f>
        <v>7360414.7858301625</v>
      </c>
      <c r="E25" s="99">
        <f t="shared" ref="E25:H25" si="5">SUM(E23:E24)</f>
        <v>7362485.2707612058</v>
      </c>
      <c r="F25" s="99">
        <f t="shared" si="5"/>
        <v>7369332.4294567509</v>
      </c>
      <c r="G25" s="99">
        <f t="shared" si="5"/>
        <v>7377583.6695470447</v>
      </c>
      <c r="H25" s="99">
        <f t="shared" si="5"/>
        <v>7376351.7599999905</v>
      </c>
    </row>
    <row r="26" spans="2:8" x14ac:dyDescent="0.25">
      <c r="B26" s="93" t="s">
        <v>217</v>
      </c>
      <c r="C26" s="99">
        <f>SUM(C21+C25)</f>
        <v>9191292.2466121726</v>
      </c>
      <c r="D26" s="99">
        <f>SUM(D21+D25)</f>
        <v>25991708.502175413</v>
      </c>
      <c r="E26" s="99">
        <f t="shared" ref="E26:H26" si="6">SUM(E21+E25)</f>
        <v>26864245.160999969</v>
      </c>
      <c r="F26" s="99">
        <f t="shared" si="6"/>
        <v>27747665.0610626</v>
      </c>
      <c r="G26" s="99">
        <f t="shared" si="6"/>
        <v>28522733.019547045</v>
      </c>
      <c r="H26" s="99">
        <f t="shared" si="6"/>
        <v>29509559.057499994</v>
      </c>
    </row>
    <row r="28" spans="2:8" x14ac:dyDescent="0.25">
      <c r="B28" s="145" t="s">
        <v>218</v>
      </c>
      <c r="C28" s="9">
        <f>D26</f>
        <v>25991708.502175413</v>
      </c>
      <c r="D28" s="9">
        <f t="shared" ref="D28:H28" si="7">E26</f>
        <v>26864245.160999969</v>
      </c>
      <c r="E28" s="9">
        <f t="shared" si="7"/>
        <v>27747665.0610626</v>
      </c>
      <c r="F28" s="9">
        <f t="shared" si="7"/>
        <v>28522733.019547045</v>
      </c>
      <c r="G28" s="9">
        <f t="shared" si="7"/>
        <v>29509559.057499994</v>
      </c>
      <c r="H28" s="9">
        <f t="shared" si="7"/>
        <v>0</v>
      </c>
    </row>
    <row r="29" spans="2:8" x14ac:dyDescent="0.25">
      <c r="B29" s="146"/>
      <c r="C29" s="9">
        <f>D11</f>
        <v>10080000</v>
      </c>
      <c r="D29" s="9">
        <f t="shared" ref="D29:H29" si="8">E11</f>
        <v>10080000</v>
      </c>
      <c r="E29" s="9">
        <f t="shared" si="8"/>
        <v>10080000</v>
      </c>
      <c r="F29" s="9">
        <f t="shared" si="8"/>
        <v>10080000</v>
      </c>
      <c r="G29" s="9">
        <f t="shared" si="8"/>
        <v>10080000</v>
      </c>
      <c r="H29" s="9">
        <f t="shared" si="8"/>
        <v>0</v>
      </c>
    </row>
    <row r="30" spans="2:8" x14ac:dyDescent="0.25">
      <c r="B30" s="147"/>
      <c r="C30" s="9">
        <f>C28-C29</f>
        <v>15911708.502175413</v>
      </c>
      <c r="D30" s="9">
        <f t="shared" ref="D30:H30" si="9">D28-D29</f>
        <v>16784245.160999969</v>
      </c>
      <c r="E30" s="9">
        <f t="shared" si="9"/>
        <v>17667665.0610626</v>
      </c>
      <c r="F30" s="9">
        <f t="shared" si="9"/>
        <v>18442733.019547045</v>
      </c>
      <c r="G30" s="9">
        <f t="shared" si="9"/>
        <v>19429559.057499994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V65"/>
  <sheetViews>
    <sheetView topLeftCell="A35" zoomScale="77" zoomScaleNormal="77" workbookViewId="0">
      <selection activeCell="C63" sqref="C63"/>
    </sheetView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161</v>
      </c>
      <c r="C4" s="68" t="s">
        <v>220</v>
      </c>
      <c r="D4" s="68" t="s">
        <v>221</v>
      </c>
      <c r="E4" s="68" t="s">
        <v>222</v>
      </c>
      <c r="F4" s="68" t="s">
        <v>223</v>
      </c>
      <c r="G4" s="68" t="s">
        <v>224</v>
      </c>
      <c r="H4" s="68" t="s">
        <v>225</v>
      </c>
      <c r="I4" s="68" t="s">
        <v>226</v>
      </c>
      <c r="J4" s="68" t="s">
        <v>227</v>
      </c>
      <c r="K4" s="68" t="s">
        <v>228</v>
      </c>
      <c r="L4" s="68" t="s">
        <v>229</v>
      </c>
      <c r="M4" s="68" t="s">
        <v>230</v>
      </c>
      <c r="N4" s="68" t="s">
        <v>231</v>
      </c>
      <c r="O4" s="68" t="s">
        <v>232</v>
      </c>
      <c r="P4" s="68" t="s">
        <v>233</v>
      </c>
      <c r="Q4" s="68" t="s">
        <v>234</v>
      </c>
      <c r="R4" s="68" t="s">
        <v>235</v>
      </c>
      <c r="S4" s="68" t="s">
        <v>236</v>
      </c>
    </row>
    <row r="5" spans="2:19" x14ac:dyDescent="0.25">
      <c r="B5" s="55" t="s">
        <v>172</v>
      </c>
      <c r="C5" s="65">
        <f>'Presupuesto de compras y ventas'!E35</f>
        <v>16666666.666666672</v>
      </c>
      <c r="D5" s="65">
        <f>'Presupuesto de compras y ventas'!E36</f>
        <v>16666666.666666672</v>
      </c>
      <c r="E5" s="65">
        <f>'Presupuesto de compras y ventas'!E37</f>
        <v>16666666.666666672</v>
      </c>
      <c r="F5" s="65">
        <f>'Presupuesto de compras y ventas'!E38</f>
        <v>16666666.666666672</v>
      </c>
      <c r="G5" s="65">
        <f>'Presupuesto de compras y ventas'!E39</f>
        <v>16666666.666666672</v>
      </c>
      <c r="H5" s="65">
        <f>'Presupuesto de compras y ventas'!E40</f>
        <v>16666666.666666672</v>
      </c>
      <c r="I5" s="65">
        <f>'Presupuesto de compras y ventas'!E41</f>
        <v>16666666.666666672</v>
      </c>
      <c r="J5" s="65">
        <f>'Presupuesto de compras y ventas'!E42</f>
        <v>16666666.666666672</v>
      </c>
      <c r="K5" s="65">
        <f>'Presupuesto de compras y ventas'!E43</f>
        <v>16666666.666666672</v>
      </c>
      <c r="L5" s="65">
        <f>'Presupuesto de compras y ventas'!E44</f>
        <v>16666666.666666672</v>
      </c>
      <c r="M5" s="65">
        <f>'Presupuesto de compras y ventas'!E45</f>
        <v>16666666.666666672</v>
      </c>
      <c r="N5" s="65">
        <f>'Presupuesto de compras y ventas'!E46</f>
        <v>16666666.666666672</v>
      </c>
      <c r="O5" s="51">
        <f>SUM(C5:N5)</f>
        <v>200000000.00000012</v>
      </c>
      <c r="P5" s="51">
        <f>'[1]Presupuesto de compras y ventas'!H14</f>
        <v>84460000</v>
      </c>
      <c r="Q5" s="51">
        <f>'[1]Presupuesto de compras y ventas'!K14</f>
        <v>86993800</v>
      </c>
      <c r="R5" s="51">
        <f>'[1]Presupuesto de compras y ventas'!N14</f>
        <v>89603614</v>
      </c>
      <c r="S5" s="51">
        <f>'[1]Presupuesto de compras y ventas'!Q14</f>
        <v>92291722.420000002</v>
      </c>
    </row>
    <row r="6" spans="2:19" x14ac:dyDescent="0.25">
      <c r="B6" s="55" t="s">
        <v>237</v>
      </c>
      <c r="C6" s="65">
        <f>'Materia Prima'!F54</f>
        <v>124999.99999999999</v>
      </c>
      <c r="D6" s="65">
        <f>'Materia Prima'!F55</f>
        <v>124999.99999999999</v>
      </c>
      <c r="E6" s="65">
        <f>'Materia Prima'!F56</f>
        <v>124999.99999999999</v>
      </c>
      <c r="F6" s="65">
        <f>'Materia Prima'!F57</f>
        <v>124999.99999999999</v>
      </c>
      <c r="G6" s="65">
        <f>'Materia Prima'!F58</f>
        <v>124999.99999999999</v>
      </c>
      <c r="H6" s="65">
        <f>'Materia Prima'!F59</f>
        <v>124999.99999999999</v>
      </c>
      <c r="I6" s="65">
        <f>'Materia Prima'!F60</f>
        <v>124999.99999999999</v>
      </c>
      <c r="J6" s="65">
        <f>'Materia Prima'!F61</f>
        <v>124999.99999999999</v>
      </c>
      <c r="K6" s="65">
        <f>'Materia Prima'!F62</f>
        <v>124999.99999999999</v>
      </c>
      <c r="L6" s="65">
        <f>'Materia Prima'!F63</f>
        <v>124999.99999999999</v>
      </c>
      <c r="M6" s="65">
        <f>'Materia Prima'!F64</f>
        <v>124999.99999999999</v>
      </c>
      <c r="N6" s="65">
        <f>'Materia Prima'!F65</f>
        <v>124999.99999999999</v>
      </c>
      <c r="O6" s="51">
        <f>SUM(C6:N6)</f>
        <v>1499999.9999999998</v>
      </c>
      <c r="P6" s="51">
        <f>'[1]Presupuesto de compras y ventas'!G14</f>
        <v>4264000</v>
      </c>
      <c r="Q6" s="51">
        <f>'[1]Presupuesto de compras y ventas'!J14</f>
        <v>4434560</v>
      </c>
      <c r="R6" s="51">
        <f>'[1]Presupuesto de compras y ventas'!M14</f>
        <v>4611942.4000000004</v>
      </c>
      <c r="S6" s="51">
        <f>'[1]Presupuesto de compras y ventas'!P14</f>
        <v>4796420.0960000008</v>
      </c>
    </row>
    <row r="8" spans="2:19" x14ac:dyDescent="0.25">
      <c r="B8" s="31" t="s">
        <v>238</v>
      </c>
      <c r="C8" s="68" t="s">
        <v>220</v>
      </c>
      <c r="D8" s="68" t="s">
        <v>221</v>
      </c>
      <c r="E8" s="68" t="s">
        <v>222</v>
      </c>
      <c r="F8" s="68" t="s">
        <v>223</v>
      </c>
      <c r="G8" s="68" t="s">
        <v>224</v>
      </c>
      <c r="H8" s="68" t="s">
        <v>225</v>
      </c>
      <c r="I8" s="68" t="s">
        <v>226</v>
      </c>
      <c r="J8" s="68" t="s">
        <v>227</v>
      </c>
      <c r="K8" s="68" t="s">
        <v>228</v>
      </c>
      <c r="L8" s="68" t="s">
        <v>229</v>
      </c>
      <c r="M8" s="68" t="s">
        <v>230</v>
      </c>
      <c r="N8" s="68" t="s">
        <v>231</v>
      </c>
      <c r="O8" s="68" t="s">
        <v>239</v>
      </c>
    </row>
    <row r="9" spans="2:19" x14ac:dyDescent="0.25">
      <c r="B9" s="130" t="s">
        <v>240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2:19" x14ac:dyDescent="0.25">
      <c r="B10" s="55" t="s">
        <v>241</v>
      </c>
      <c r="C10" s="65">
        <f>C5</f>
        <v>16666666.666666672</v>
      </c>
      <c r="D10" s="65">
        <f t="shared" ref="D10:N10" si="0">D5</f>
        <v>16666666.666666672</v>
      </c>
      <c r="E10" s="65">
        <f t="shared" si="0"/>
        <v>16666666.666666672</v>
      </c>
      <c r="F10" s="65">
        <f t="shared" si="0"/>
        <v>16666666.666666672</v>
      </c>
      <c r="G10" s="65">
        <f t="shared" si="0"/>
        <v>16666666.666666672</v>
      </c>
      <c r="H10" s="65">
        <f t="shared" si="0"/>
        <v>16666666.666666672</v>
      </c>
      <c r="I10" s="65">
        <f t="shared" si="0"/>
        <v>16666666.666666672</v>
      </c>
      <c r="J10" s="65">
        <f t="shared" si="0"/>
        <v>16666666.666666672</v>
      </c>
      <c r="K10" s="65">
        <f t="shared" si="0"/>
        <v>16666666.666666672</v>
      </c>
      <c r="L10" s="65">
        <f t="shared" si="0"/>
        <v>16666666.666666672</v>
      </c>
      <c r="M10" s="65">
        <f t="shared" si="0"/>
        <v>16666666.666666672</v>
      </c>
      <c r="N10" s="65">
        <f t="shared" si="0"/>
        <v>16666666.666666672</v>
      </c>
      <c r="O10" s="51">
        <f>SUM(C10:N10)</f>
        <v>200000000.00000012</v>
      </c>
      <c r="P10" s="51">
        <f>IF('[1]Plan de Inversión'!C12&lt;30,(IF(0&lt;='[1]Plan de Inversión'!C12,((1-('[1]Plan de Inversión'!C12/30))*P5),0)),0)</f>
        <v>81644666.666666672</v>
      </c>
      <c r="Q10" s="51">
        <f>IF('[1]Plan de Inversión'!C12&lt;30,(IF(0&lt;='[1]Plan de Inversión'!C12,((1-('[1]Plan de Inversión'!C12/30))*Q5),0)),0)</f>
        <v>84094006.666666672</v>
      </c>
      <c r="R10" s="51">
        <f>IF('[1]Plan de Inversión'!C12&lt;30,(IF(0&lt;='[1]Plan de Inversión'!C12,((1-('[1]Plan de Inversión'!C12/30))*R5),0)),0)</f>
        <v>86616826.866666675</v>
      </c>
      <c r="S10" s="51">
        <f>IF('[1]Plan de Inversión'!C12&lt;30,(IF(0&lt;='[1]Plan de Inversión'!C12,((1-('[1]Plan de Inversión'!C12/30))*S5),0)),0)</f>
        <v>89215331.672666669</v>
      </c>
    </row>
    <row r="11" spans="2:19" x14ac:dyDescent="0.25">
      <c r="B11" s="55" t="s">
        <v>242</v>
      </c>
      <c r="C11" s="65">
        <f>C5-C10</f>
        <v>0</v>
      </c>
      <c r="D11" s="65">
        <f t="shared" ref="D11:N11" si="1">D5-D10</f>
        <v>0</v>
      </c>
      <c r="E11" s="65">
        <f t="shared" si="1"/>
        <v>0</v>
      </c>
      <c r="F11" s="65">
        <f t="shared" si="1"/>
        <v>0</v>
      </c>
      <c r="G11" s="65">
        <f t="shared" si="1"/>
        <v>0</v>
      </c>
      <c r="H11" s="65">
        <f t="shared" si="1"/>
        <v>0</v>
      </c>
      <c r="I11" s="65">
        <f t="shared" si="1"/>
        <v>0</v>
      </c>
      <c r="J11" s="65">
        <f t="shared" si="1"/>
        <v>0</v>
      </c>
      <c r="K11" s="65">
        <f t="shared" si="1"/>
        <v>0</v>
      </c>
      <c r="L11" s="65">
        <f t="shared" si="1"/>
        <v>0</v>
      </c>
      <c r="M11" s="65">
        <f t="shared" si="1"/>
        <v>0</v>
      </c>
      <c r="N11" s="65">
        <f t="shared" si="1"/>
        <v>0</v>
      </c>
      <c r="O11" s="51">
        <f t="shared" ref="O11" si="2">O5-O10</f>
        <v>0</v>
      </c>
      <c r="P11" s="51">
        <f>P5-P10</f>
        <v>2815333.3333333284</v>
      </c>
      <c r="Q11" s="51">
        <f t="shared" ref="Q11:S11" si="3">Q5-Q10</f>
        <v>2899793.3333333284</v>
      </c>
      <c r="R11" s="51">
        <f t="shared" si="3"/>
        <v>2986787.1333333254</v>
      </c>
      <c r="S11" s="51">
        <f t="shared" si="3"/>
        <v>3076390.7473333329</v>
      </c>
    </row>
    <row r="12" spans="2:19" x14ac:dyDescent="0.25">
      <c r="B12" s="55" t="s">
        <v>243</v>
      </c>
      <c r="C12" s="65"/>
      <c r="D12" s="65">
        <v>0</v>
      </c>
      <c r="E12" s="65">
        <f>D12</f>
        <v>0</v>
      </c>
      <c r="F12" s="65">
        <f t="shared" ref="F12:N12" si="4">E12</f>
        <v>0</v>
      </c>
      <c r="G12" s="65">
        <f t="shared" si="4"/>
        <v>0</v>
      </c>
      <c r="H12" s="65">
        <f t="shared" si="4"/>
        <v>0</v>
      </c>
      <c r="I12" s="65">
        <f t="shared" si="4"/>
        <v>0</v>
      </c>
      <c r="J12" s="65">
        <f t="shared" si="4"/>
        <v>0</v>
      </c>
      <c r="K12" s="65">
        <f t="shared" si="4"/>
        <v>0</v>
      </c>
      <c r="L12" s="65">
        <f t="shared" si="4"/>
        <v>0</v>
      </c>
      <c r="M12" s="65">
        <f t="shared" si="4"/>
        <v>0</v>
      </c>
      <c r="N12" s="65">
        <f t="shared" si="4"/>
        <v>0</v>
      </c>
      <c r="O12" s="51">
        <f>SUM(C12:N12)</f>
        <v>0</v>
      </c>
      <c r="P12" s="51">
        <f>+P11</f>
        <v>2815333.3333333284</v>
      </c>
      <c r="Q12" s="51">
        <f t="shared" ref="Q12:S12" si="5">+Q11</f>
        <v>2899793.3333333284</v>
      </c>
      <c r="R12" s="51">
        <f t="shared" si="5"/>
        <v>2986787.1333333254</v>
      </c>
      <c r="S12" s="51">
        <f t="shared" si="5"/>
        <v>3076390.7473333329</v>
      </c>
    </row>
    <row r="13" spans="2:19" x14ac:dyDescent="0.25">
      <c r="B13" s="31" t="s">
        <v>244</v>
      </c>
      <c r="C13" s="102">
        <f>+C10+C12</f>
        <v>16666666.666666672</v>
      </c>
      <c r="D13" s="102">
        <f t="shared" ref="D13:N13" si="6">+D10+D12</f>
        <v>16666666.666666672</v>
      </c>
      <c r="E13" s="102">
        <f t="shared" si="6"/>
        <v>16666666.666666672</v>
      </c>
      <c r="F13" s="102">
        <f t="shared" si="6"/>
        <v>16666666.666666672</v>
      </c>
      <c r="G13" s="102">
        <f t="shared" si="6"/>
        <v>16666666.666666672</v>
      </c>
      <c r="H13" s="102">
        <f t="shared" si="6"/>
        <v>16666666.666666672</v>
      </c>
      <c r="I13" s="102">
        <f t="shared" si="6"/>
        <v>16666666.666666672</v>
      </c>
      <c r="J13" s="102">
        <f t="shared" si="6"/>
        <v>16666666.666666672</v>
      </c>
      <c r="K13" s="102">
        <f t="shared" si="6"/>
        <v>16666666.666666672</v>
      </c>
      <c r="L13" s="102">
        <f t="shared" si="6"/>
        <v>16666666.666666672</v>
      </c>
      <c r="M13" s="102">
        <f t="shared" si="6"/>
        <v>16666666.666666672</v>
      </c>
      <c r="N13" s="102">
        <f t="shared" si="6"/>
        <v>16666666.666666672</v>
      </c>
      <c r="O13" s="100">
        <f>+O10+O12</f>
        <v>200000000.00000012</v>
      </c>
      <c r="P13" s="100">
        <f>+P10+P12</f>
        <v>84460000</v>
      </c>
      <c r="Q13" s="100">
        <f t="shared" ref="Q13:S13" si="7">+Q10+Q12</f>
        <v>86993800</v>
      </c>
      <c r="R13" s="100">
        <f t="shared" si="7"/>
        <v>89603614</v>
      </c>
      <c r="S13" s="100">
        <f t="shared" si="7"/>
        <v>92291722.420000002</v>
      </c>
    </row>
    <row r="14" spans="2:19" x14ac:dyDescent="0.25">
      <c r="B14" s="130" t="s">
        <v>245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2:19" x14ac:dyDescent="0.25">
      <c r="B15" s="130" t="s">
        <v>203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2:19" x14ac:dyDescent="0.25">
      <c r="B16" s="55" t="s">
        <v>246</v>
      </c>
      <c r="C16" s="65">
        <f>'Total de Inversion'!$H$10/12</f>
        <v>9848720</v>
      </c>
      <c r="D16" s="65">
        <f>'Total de Inversion'!$H$10/12</f>
        <v>9848720</v>
      </c>
      <c r="E16" s="65">
        <f>'Total de Inversion'!$H$10/12</f>
        <v>9848720</v>
      </c>
      <c r="F16" s="65">
        <f>'Total de Inversion'!$H$10/12</f>
        <v>9848720</v>
      </c>
      <c r="G16" s="65">
        <f>'Total de Inversion'!$H$10/12</f>
        <v>9848720</v>
      </c>
      <c r="H16" s="65">
        <f>'Total de Inversion'!$H$10/12</f>
        <v>9848720</v>
      </c>
      <c r="I16" s="65">
        <f>'Total de Inversion'!$H$10/12</f>
        <v>9848720</v>
      </c>
      <c r="J16" s="65">
        <f>'Total de Inversion'!$H$10/12</f>
        <v>9848720</v>
      </c>
      <c r="K16" s="65">
        <f>'Total de Inversion'!$H$10/12</f>
        <v>9848720</v>
      </c>
      <c r="L16" s="65">
        <f>'Total de Inversion'!$H$10/12</f>
        <v>9848720</v>
      </c>
      <c r="M16" s="65">
        <f>'Total de Inversion'!$H$10/12</f>
        <v>9848720</v>
      </c>
      <c r="N16" s="65">
        <f>'Total de Inversion'!$H$10/12</f>
        <v>9848720</v>
      </c>
      <c r="O16" s="51" t="e">
        <f>SUM(#REF!)</f>
        <v>#REF!</v>
      </c>
      <c r="P16" s="51" t="e">
        <f>SUM(#REF!)</f>
        <v>#REF!</v>
      </c>
      <c r="Q16" s="51" t="e">
        <f>SUM(#REF!)</f>
        <v>#REF!</v>
      </c>
      <c r="R16" s="51" t="e">
        <f>SUM(#REF!)</f>
        <v>#REF!</v>
      </c>
      <c r="S16" s="51" t="e">
        <f>SUM(#REF!)</f>
        <v>#REF!</v>
      </c>
    </row>
    <row r="17" spans="2:19" x14ac:dyDescent="0.25">
      <c r="B17" s="55" t="s">
        <v>247</v>
      </c>
      <c r="C17" s="65">
        <f>'Costos de Administracion'!$E$9/12</f>
        <v>500000</v>
      </c>
      <c r="D17" s="65">
        <f>'Costos de Administracion'!$E$9/12</f>
        <v>500000</v>
      </c>
      <c r="E17" s="65">
        <f>'Costos de Administracion'!$E$9/12</f>
        <v>500000</v>
      </c>
      <c r="F17" s="65">
        <f>'Costos de Administracion'!$E$9/12</f>
        <v>500000</v>
      </c>
      <c r="G17" s="65">
        <f>'Costos de Administracion'!$E$9/12</f>
        <v>500000</v>
      </c>
      <c r="H17" s="65">
        <f>'Costos de Administracion'!$E$9/12</f>
        <v>500000</v>
      </c>
      <c r="I17" s="65">
        <f>'Costos de Administracion'!$E$9/12</f>
        <v>500000</v>
      </c>
      <c r="J17" s="65">
        <f>'Costos de Administracion'!$E$9/12</f>
        <v>500000</v>
      </c>
      <c r="K17" s="65">
        <f>'Costos de Administracion'!$E$9/12</f>
        <v>500000</v>
      </c>
      <c r="L17" s="65">
        <f>'Costos de Administracion'!$E$9/12</f>
        <v>500000</v>
      </c>
      <c r="M17" s="65">
        <f>'Costos de Administracion'!$E$9/12</f>
        <v>500000</v>
      </c>
      <c r="N17" s="65">
        <f>'Costos de Administracion'!$E$9/12</f>
        <v>500000</v>
      </c>
      <c r="O17" s="51">
        <f>SUM(C17:N17)</f>
        <v>6000000</v>
      </c>
      <c r="P17" s="51">
        <f>O17*(1+'[1]Presupuesto de costos y gastos '!$G$27)</f>
        <v>6180000</v>
      </c>
      <c r="Q17" s="51">
        <f>P17*(1+'[1]Presupuesto de costos y gastos '!$G$28)</f>
        <v>6489000</v>
      </c>
      <c r="R17" s="51">
        <f>Q17*(1+'[1]Presupuesto de costos y gastos '!$G$29)</f>
        <v>6813450</v>
      </c>
      <c r="S17" s="51">
        <f>R17*(1+'[1]Presupuesto de costos y gastos '!$G$30)</f>
        <v>7154122.5</v>
      </c>
    </row>
    <row r="18" spans="2:19" x14ac:dyDescent="0.25">
      <c r="B18" s="55" t="s">
        <v>248</v>
      </c>
      <c r="C18" s="65">
        <f>SUM('Costos de Administracion'!$E$10:$E$12)/12</f>
        <v>254000</v>
      </c>
      <c r="D18" s="65">
        <f>SUM('Costos de Administracion'!$E$10:$E$12)/12</f>
        <v>254000</v>
      </c>
      <c r="E18" s="65">
        <f>SUM('Costos de Administracion'!$E$10:$E$12)/12</f>
        <v>254000</v>
      </c>
      <c r="F18" s="65">
        <f>SUM('Costos de Administracion'!$E$10:$E$12)/12</f>
        <v>254000</v>
      </c>
      <c r="G18" s="65">
        <f>SUM('Costos de Administracion'!$E$10:$E$12)/12</f>
        <v>254000</v>
      </c>
      <c r="H18" s="65">
        <f>SUM('Costos de Administracion'!$E$10:$E$12)/12</f>
        <v>254000</v>
      </c>
      <c r="I18" s="65">
        <f>SUM('Costos de Administracion'!$E$10:$E$12)/12</f>
        <v>254000</v>
      </c>
      <c r="J18" s="65">
        <f>SUM('Costos de Administracion'!$E$10:$E$12)/12</f>
        <v>254000</v>
      </c>
      <c r="K18" s="65">
        <f>SUM('Costos de Administracion'!$E$10:$E$12)/12</f>
        <v>254000</v>
      </c>
      <c r="L18" s="65">
        <f>SUM('Costos de Administracion'!$E$10:$E$12)/12</f>
        <v>254000</v>
      </c>
      <c r="M18" s="65">
        <f>SUM('Costos de Administracion'!$E$10:$E$12)/12</f>
        <v>254000</v>
      </c>
      <c r="N18" s="65">
        <f>SUM('Costos de Administracion'!$E$10:$E$12)/12</f>
        <v>254000</v>
      </c>
      <c r="O18" s="51">
        <f t="shared" ref="O18:O21" si="8">SUM(C18:N18)</f>
        <v>3048000</v>
      </c>
      <c r="P18" s="51">
        <f>O18*(1+'[1]Presupuesto de costos y gastos '!$G$27)</f>
        <v>3139440</v>
      </c>
      <c r="Q18" s="51">
        <f>P18*(1+'[1]Presupuesto de costos y gastos '!$G$28)</f>
        <v>3296412</v>
      </c>
      <c r="R18" s="51">
        <f>Q18*(1+'[1]Presupuesto de costos y gastos '!$G$29)</f>
        <v>3461232.6</v>
      </c>
      <c r="S18" s="51">
        <f>R18*(1+'[1]Presupuesto de costos y gastos '!$G$30)</f>
        <v>3634294.2300000004</v>
      </c>
    </row>
    <row r="19" spans="2:19" x14ac:dyDescent="0.25">
      <c r="B19" s="55" t="s">
        <v>249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51">
        <f t="shared" si="8"/>
        <v>0</v>
      </c>
      <c r="P19" s="51">
        <f>O19*(1+'[1]Presupuesto de costos y gastos '!$G$27)</f>
        <v>0</v>
      </c>
      <c r="Q19" s="51">
        <f>P19*(1+'[1]Presupuesto de costos y gastos '!$G$28)</f>
        <v>0</v>
      </c>
      <c r="R19" s="51">
        <f>Q19*(1+'[1]Presupuesto de costos y gastos '!$G$29)</f>
        <v>0</v>
      </c>
      <c r="S19" s="51">
        <f>R19*(1+'[1]Presupuesto de costos y gastos '!$G$30)</f>
        <v>0</v>
      </c>
    </row>
    <row r="20" spans="2:19" x14ac:dyDescent="0.25">
      <c r="B20" s="55" t="s">
        <v>250</v>
      </c>
      <c r="C20" s="65">
        <f>('Costos de Administracion'!E15)/12</f>
        <v>0</v>
      </c>
      <c r="D20" s="65">
        <f>C20</f>
        <v>0</v>
      </c>
      <c r="E20" s="65">
        <f t="shared" ref="E20:N20" si="9">D20</f>
        <v>0</v>
      </c>
      <c r="F20" s="65">
        <f t="shared" si="9"/>
        <v>0</v>
      </c>
      <c r="G20" s="65">
        <f t="shared" si="9"/>
        <v>0</v>
      </c>
      <c r="H20" s="65">
        <f t="shared" si="9"/>
        <v>0</v>
      </c>
      <c r="I20" s="65">
        <f t="shared" si="9"/>
        <v>0</v>
      </c>
      <c r="J20" s="65">
        <f t="shared" si="9"/>
        <v>0</v>
      </c>
      <c r="K20" s="65">
        <f t="shared" si="9"/>
        <v>0</v>
      </c>
      <c r="L20" s="65">
        <f t="shared" si="9"/>
        <v>0</v>
      </c>
      <c r="M20" s="65">
        <f t="shared" si="9"/>
        <v>0</v>
      </c>
      <c r="N20" s="65">
        <f t="shared" si="9"/>
        <v>0</v>
      </c>
      <c r="O20" s="51">
        <f t="shared" si="8"/>
        <v>0</v>
      </c>
      <c r="P20" s="51">
        <f>O20*(1+'[1]Presupuesto de costos y gastos '!$G$27)</f>
        <v>0</v>
      </c>
      <c r="Q20" s="51">
        <f>P20*(1+'[1]Presupuesto de costos y gastos '!$G$28)</f>
        <v>0</v>
      </c>
      <c r="R20" s="51">
        <f>Q20*(1+'[1]Presupuesto de costos y gastos '!$G$29)</f>
        <v>0</v>
      </c>
      <c r="S20" s="51">
        <f>R20*(1+'[1]Presupuesto de costos y gastos '!$G$30)</f>
        <v>0</v>
      </c>
    </row>
    <row r="21" spans="2:19" x14ac:dyDescent="0.25">
      <c r="B21" s="55" t="s">
        <v>289</v>
      </c>
      <c r="C21" s="65">
        <f>'Costos de Administracion'!D14</f>
        <v>0</v>
      </c>
      <c r="D21" s="65">
        <f>C21</f>
        <v>0</v>
      </c>
      <c r="E21" s="65">
        <f t="shared" ref="E21:N21" si="10">D21</f>
        <v>0</v>
      </c>
      <c r="F21" s="65">
        <f t="shared" si="10"/>
        <v>0</v>
      </c>
      <c r="G21" s="65">
        <f t="shared" si="10"/>
        <v>0</v>
      </c>
      <c r="H21" s="65">
        <f t="shared" si="10"/>
        <v>0</v>
      </c>
      <c r="I21" s="65">
        <f t="shared" si="10"/>
        <v>0</v>
      </c>
      <c r="J21" s="65">
        <f t="shared" si="10"/>
        <v>0</v>
      </c>
      <c r="K21" s="65">
        <f t="shared" si="10"/>
        <v>0</v>
      </c>
      <c r="L21" s="65">
        <f t="shared" si="10"/>
        <v>0</v>
      </c>
      <c r="M21" s="65">
        <f t="shared" si="10"/>
        <v>0</v>
      </c>
      <c r="N21" s="65">
        <f t="shared" si="10"/>
        <v>0</v>
      </c>
      <c r="O21" s="51">
        <f t="shared" si="8"/>
        <v>0</v>
      </c>
      <c r="P21" s="51">
        <f>O21*(1+'[1]Presupuesto de costos y gastos '!$G$27)</f>
        <v>0</v>
      </c>
      <c r="Q21" s="51">
        <f>P21*(1+'[1]Presupuesto de costos y gastos '!$G$28)</f>
        <v>0</v>
      </c>
      <c r="R21" s="51">
        <f>Q21*(1+'[1]Presupuesto de costos y gastos '!$G$29)</f>
        <v>0</v>
      </c>
      <c r="S21" s="51">
        <f>R21*(1+'[1]Presupuesto de costos y gastos '!$G$30)</f>
        <v>0</v>
      </c>
    </row>
    <row r="22" spans="2:19" x14ac:dyDescent="0.25">
      <c r="B22" s="31" t="s">
        <v>251</v>
      </c>
      <c r="C22" s="102">
        <f t="shared" ref="C22:N22" si="11">SUM(C17:C21)</f>
        <v>754000</v>
      </c>
      <c r="D22" s="102">
        <f t="shared" si="11"/>
        <v>754000</v>
      </c>
      <c r="E22" s="102">
        <f t="shared" si="11"/>
        <v>754000</v>
      </c>
      <c r="F22" s="102">
        <f t="shared" si="11"/>
        <v>754000</v>
      </c>
      <c r="G22" s="102">
        <f t="shared" si="11"/>
        <v>754000</v>
      </c>
      <c r="H22" s="102">
        <f t="shared" si="11"/>
        <v>754000</v>
      </c>
      <c r="I22" s="102">
        <f t="shared" si="11"/>
        <v>754000</v>
      </c>
      <c r="J22" s="102">
        <f t="shared" si="11"/>
        <v>754000</v>
      </c>
      <c r="K22" s="102">
        <f t="shared" si="11"/>
        <v>754000</v>
      </c>
      <c r="L22" s="102">
        <f t="shared" si="11"/>
        <v>754000</v>
      </c>
      <c r="M22" s="102">
        <f t="shared" si="11"/>
        <v>754000</v>
      </c>
      <c r="N22" s="102">
        <f t="shared" si="11"/>
        <v>754000</v>
      </c>
      <c r="O22" s="100" t="e">
        <f>SUM(O17:O21)+O16</f>
        <v>#REF!</v>
      </c>
      <c r="P22" s="100" t="e">
        <f>SUM(P17:P21)+P16</f>
        <v>#REF!</v>
      </c>
      <c r="Q22" s="100" t="e">
        <f>SUM(Q17:Q21)+Q16</f>
        <v>#REF!</v>
      </c>
      <c r="R22" s="100" t="e">
        <f>SUM(R17:R21)+R16</f>
        <v>#REF!</v>
      </c>
      <c r="S22" s="100" t="e">
        <f>SUM(S17:S21)+S16</f>
        <v>#REF!</v>
      </c>
    </row>
    <row r="23" spans="2:19" x14ac:dyDescent="0.25">
      <c r="B23" s="130" t="s">
        <v>252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</row>
    <row r="24" spans="2:19" ht="15" customHeight="1" x14ac:dyDescent="0.25">
      <c r="B24" s="55" t="s">
        <v>253</v>
      </c>
      <c r="C24" s="103">
        <f>'Materia Prima'!G19</f>
        <v>15000</v>
      </c>
      <c r="D24" s="103">
        <f>C24</f>
        <v>15000</v>
      </c>
      <c r="E24" s="103">
        <f t="shared" ref="E24:N24" si="12">D24</f>
        <v>15000</v>
      </c>
      <c r="F24" s="103">
        <f t="shared" si="12"/>
        <v>15000</v>
      </c>
      <c r="G24" s="103">
        <f t="shared" si="12"/>
        <v>15000</v>
      </c>
      <c r="H24" s="103">
        <f t="shared" si="12"/>
        <v>15000</v>
      </c>
      <c r="I24" s="103">
        <f t="shared" si="12"/>
        <v>15000</v>
      </c>
      <c r="J24" s="103">
        <f t="shared" si="12"/>
        <v>15000</v>
      </c>
      <c r="K24" s="103">
        <f t="shared" si="12"/>
        <v>15000</v>
      </c>
      <c r="L24" s="103">
        <f t="shared" si="12"/>
        <v>15000</v>
      </c>
      <c r="M24" s="103">
        <f t="shared" si="12"/>
        <v>15000</v>
      </c>
      <c r="N24" s="103">
        <f t="shared" si="12"/>
        <v>15000</v>
      </c>
      <c r="O24" s="46"/>
      <c r="P24" s="51">
        <f>+O24*(1+'[1]Presupuesto de Compras '!$C$76)</f>
        <v>0</v>
      </c>
      <c r="Q24" s="51">
        <f>+P24*(1+'[1]Presupuesto de Compras '!$C$77)</f>
        <v>0</v>
      </c>
      <c r="R24" s="51">
        <f>+Q24*(1+'[1]Presupuesto de Compras '!$C$78)</f>
        <v>0</v>
      </c>
      <c r="S24" s="51">
        <f>+R24*(1+'[1]Presupuesto de Compras '!$C$79)</f>
        <v>0</v>
      </c>
    </row>
    <row r="25" spans="2:19" x14ac:dyDescent="0.25">
      <c r="B25" s="55" t="s">
        <v>254</v>
      </c>
      <c r="C25" s="65">
        <f>C6-C24</f>
        <v>109999.99999999999</v>
      </c>
      <c r="D25" s="65">
        <f t="shared" ref="D25:N25" si="13">D6-D24</f>
        <v>109999.99999999999</v>
      </c>
      <c r="E25" s="65">
        <f t="shared" si="13"/>
        <v>109999.99999999999</v>
      </c>
      <c r="F25" s="65">
        <f t="shared" si="13"/>
        <v>109999.99999999999</v>
      </c>
      <c r="G25" s="65">
        <f t="shared" si="13"/>
        <v>109999.99999999999</v>
      </c>
      <c r="H25" s="65">
        <f t="shared" si="13"/>
        <v>109999.99999999999</v>
      </c>
      <c r="I25" s="65">
        <f t="shared" si="13"/>
        <v>109999.99999999999</v>
      </c>
      <c r="J25" s="65">
        <f t="shared" si="13"/>
        <v>109999.99999999999</v>
      </c>
      <c r="K25" s="65">
        <f t="shared" si="13"/>
        <v>109999.99999999999</v>
      </c>
      <c r="L25" s="65">
        <f t="shared" si="13"/>
        <v>109999.99999999999</v>
      </c>
      <c r="M25" s="65">
        <f t="shared" si="13"/>
        <v>109999.99999999999</v>
      </c>
      <c r="N25" s="65">
        <f t="shared" si="13"/>
        <v>109999.99999999999</v>
      </c>
      <c r="O25" s="51"/>
      <c r="P25" s="51">
        <f>P6-P24</f>
        <v>4264000</v>
      </c>
      <c r="Q25" s="51">
        <f>Q6-Q24</f>
        <v>4434560</v>
      </c>
      <c r="R25" s="51">
        <f>R6-R24</f>
        <v>4611942.4000000004</v>
      </c>
      <c r="S25" s="51">
        <f>S6-S24</f>
        <v>4796420.0960000008</v>
      </c>
    </row>
    <row r="26" spans="2:19" x14ac:dyDescent="0.25">
      <c r="B26" s="55" t="s">
        <v>255</v>
      </c>
      <c r="C26" s="51"/>
      <c r="D26" s="65">
        <f>D25</f>
        <v>109999.99999999999</v>
      </c>
      <c r="E26" s="65">
        <f t="shared" ref="E26:N26" si="14">E25</f>
        <v>109999.99999999999</v>
      </c>
      <c r="F26" s="65">
        <f t="shared" si="14"/>
        <v>109999.99999999999</v>
      </c>
      <c r="G26" s="65">
        <f t="shared" si="14"/>
        <v>109999.99999999999</v>
      </c>
      <c r="H26" s="65">
        <f t="shared" si="14"/>
        <v>109999.99999999999</v>
      </c>
      <c r="I26" s="65">
        <f t="shared" si="14"/>
        <v>109999.99999999999</v>
      </c>
      <c r="J26" s="65">
        <f t="shared" si="14"/>
        <v>109999.99999999999</v>
      </c>
      <c r="K26" s="65">
        <f t="shared" si="14"/>
        <v>109999.99999999999</v>
      </c>
      <c r="L26" s="65">
        <f t="shared" si="14"/>
        <v>109999.99999999999</v>
      </c>
      <c r="M26" s="65">
        <f t="shared" si="14"/>
        <v>109999.99999999999</v>
      </c>
      <c r="N26" s="65">
        <f t="shared" si="14"/>
        <v>109999.99999999999</v>
      </c>
      <c r="O26" s="51"/>
      <c r="P26" s="51">
        <f>+O26*(1+'[1]Presupuesto de Compras '!$C$76)</f>
        <v>0</v>
      </c>
      <c r="Q26" s="51">
        <f>+P26*(1+'[1]Presupuesto de Compras '!$C$77)</f>
        <v>0</v>
      </c>
      <c r="R26" s="51">
        <f>+Q26*(1+'[1]Presupuesto de Compras '!$C$78)</f>
        <v>0</v>
      </c>
      <c r="S26" s="51">
        <f>+R26*(1+'[1]Presupuesto de Compras '!$C$79)</f>
        <v>0</v>
      </c>
    </row>
    <row r="27" spans="2:19" x14ac:dyDescent="0.25">
      <c r="B27" s="55" t="s">
        <v>256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>
        <f t="shared" ref="P27:S29" si="15">SUM(D27:O27)</f>
        <v>0</v>
      </c>
      <c r="Q27" s="51">
        <f t="shared" si="15"/>
        <v>0</v>
      </c>
      <c r="R27" s="51">
        <f t="shared" si="15"/>
        <v>0</v>
      </c>
      <c r="S27" s="51">
        <f t="shared" si="15"/>
        <v>0</v>
      </c>
    </row>
    <row r="28" spans="2:19" x14ac:dyDescent="0.25">
      <c r="B28" s="55" t="s">
        <v>257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f t="shared" si="15"/>
        <v>0</v>
      </c>
      <c r="Q28" s="51">
        <f t="shared" si="15"/>
        <v>0</v>
      </c>
      <c r="R28" s="51">
        <f t="shared" si="15"/>
        <v>0</v>
      </c>
      <c r="S28" s="51">
        <f t="shared" si="15"/>
        <v>0</v>
      </c>
    </row>
    <row r="29" spans="2:19" x14ac:dyDescent="0.25">
      <c r="B29" s="55" t="s">
        <v>258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f t="shared" si="15"/>
        <v>0</v>
      </c>
      <c r="Q29" s="51">
        <f t="shared" si="15"/>
        <v>0</v>
      </c>
      <c r="R29" s="51">
        <f t="shared" si="15"/>
        <v>0</v>
      </c>
      <c r="S29" s="51">
        <f t="shared" si="15"/>
        <v>0</v>
      </c>
    </row>
    <row r="30" spans="2:19" x14ac:dyDescent="0.25">
      <c r="B30" s="31" t="s">
        <v>251</v>
      </c>
      <c r="C30" s="102">
        <f>SUM(C24:C29)</f>
        <v>124999.99999999999</v>
      </c>
      <c r="D30" s="102">
        <f t="shared" ref="D30:N30" si="16">SUM(D24:D29)</f>
        <v>234999.99999999997</v>
      </c>
      <c r="E30" s="102">
        <f t="shared" si="16"/>
        <v>234999.99999999997</v>
      </c>
      <c r="F30" s="102">
        <f t="shared" si="16"/>
        <v>234999.99999999997</v>
      </c>
      <c r="G30" s="102">
        <f t="shared" si="16"/>
        <v>234999.99999999997</v>
      </c>
      <c r="H30" s="102">
        <f t="shared" si="16"/>
        <v>234999.99999999997</v>
      </c>
      <c r="I30" s="102">
        <f t="shared" si="16"/>
        <v>234999.99999999997</v>
      </c>
      <c r="J30" s="102">
        <f t="shared" si="16"/>
        <v>234999.99999999997</v>
      </c>
      <c r="K30" s="102">
        <f t="shared" si="16"/>
        <v>234999.99999999997</v>
      </c>
      <c r="L30" s="102">
        <f t="shared" si="16"/>
        <v>234999.99999999997</v>
      </c>
      <c r="M30" s="102">
        <f t="shared" si="16"/>
        <v>234999.99999999997</v>
      </c>
      <c r="N30" s="102">
        <f t="shared" si="16"/>
        <v>234999.99999999997</v>
      </c>
      <c r="O30" s="100">
        <f>SUM(O24:O29)</f>
        <v>0</v>
      </c>
      <c r="P30" s="100">
        <f t="shared" ref="P30:S30" si="17">SUM(P24:P29)</f>
        <v>4264000</v>
      </c>
      <c r="Q30" s="100">
        <f t="shared" si="17"/>
        <v>4434560</v>
      </c>
      <c r="R30" s="100">
        <f t="shared" si="17"/>
        <v>4611942.4000000004</v>
      </c>
      <c r="S30" s="100">
        <f t="shared" si="17"/>
        <v>4796420.0960000008</v>
      </c>
    </row>
    <row r="31" spans="2:19" x14ac:dyDescent="0.25">
      <c r="B31" s="31" t="s">
        <v>259</v>
      </c>
      <c r="C31" s="102">
        <f>C30+C22</f>
        <v>879000</v>
      </c>
      <c r="D31" s="102">
        <f t="shared" ref="D31:N31" si="18">D30+D22</f>
        <v>989000</v>
      </c>
      <c r="E31" s="102">
        <f t="shared" si="18"/>
        <v>989000</v>
      </c>
      <c r="F31" s="102">
        <f t="shared" si="18"/>
        <v>989000</v>
      </c>
      <c r="G31" s="102">
        <f t="shared" si="18"/>
        <v>989000</v>
      </c>
      <c r="H31" s="102">
        <f t="shared" si="18"/>
        <v>989000</v>
      </c>
      <c r="I31" s="102">
        <f t="shared" si="18"/>
        <v>989000</v>
      </c>
      <c r="J31" s="102">
        <f t="shared" si="18"/>
        <v>989000</v>
      </c>
      <c r="K31" s="102">
        <f t="shared" si="18"/>
        <v>989000</v>
      </c>
      <c r="L31" s="102">
        <f t="shared" si="18"/>
        <v>989000</v>
      </c>
      <c r="M31" s="102">
        <f t="shared" si="18"/>
        <v>989000</v>
      </c>
      <c r="N31" s="102">
        <f t="shared" si="18"/>
        <v>989000</v>
      </c>
      <c r="O31" s="100" t="e">
        <f>O30+O22</f>
        <v>#REF!</v>
      </c>
      <c r="P31" s="100" t="e">
        <f t="shared" ref="P31:S31" si="19">P30+P22</f>
        <v>#REF!</v>
      </c>
      <c r="Q31" s="100" t="e">
        <f t="shared" si="19"/>
        <v>#REF!</v>
      </c>
      <c r="R31" s="100" t="e">
        <f t="shared" si="19"/>
        <v>#REF!</v>
      </c>
      <c r="S31" s="100" t="e">
        <f t="shared" si="19"/>
        <v>#REF!</v>
      </c>
    </row>
    <row r="32" spans="2:19" x14ac:dyDescent="0.25">
      <c r="B32" s="31" t="s">
        <v>260</v>
      </c>
      <c r="C32" s="102">
        <f t="shared" ref="C32:S32" si="20">C13-C31</f>
        <v>15787666.666666672</v>
      </c>
      <c r="D32" s="102">
        <f t="shared" si="20"/>
        <v>15677666.666666672</v>
      </c>
      <c r="E32" s="102">
        <f t="shared" si="20"/>
        <v>15677666.666666672</v>
      </c>
      <c r="F32" s="102">
        <f t="shared" si="20"/>
        <v>15677666.666666672</v>
      </c>
      <c r="G32" s="102">
        <f t="shared" si="20"/>
        <v>15677666.666666672</v>
      </c>
      <c r="H32" s="102">
        <f t="shared" si="20"/>
        <v>15677666.666666672</v>
      </c>
      <c r="I32" s="102">
        <f t="shared" si="20"/>
        <v>15677666.666666672</v>
      </c>
      <c r="J32" s="102">
        <f t="shared" si="20"/>
        <v>15677666.666666672</v>
      </c>
      <c r="K32" s="102">
        <f t="shared" si="20"/>
        <v>15677666.666666672</v>
      </c>
      <c r="L32" s="102">
        <f t="shared" si="20"/>
        <v>15677666.666666672</v>
      </c>
      <c r="M32" s="102">
        <f t="shared" si="20"/>
        <v>15677666.666666672</v>
      </c>
      <c r="N32" s="102">
        <f t="shared" si="20"/>
        <v>15677666.666666672</v>
      </c>
      <c r="O32" s="101" t="e">
        <f t="shared" si="20"/>
        <v>#REF!</v>
      </c>
      <c r="P32" s="100" t="e">
        <f t="shared" si="20"/>
        <v>#REF!</v>
      </c>
      <c r="Q32" s="100" t="e">
        <f t="shared" si="20"/>
        <v>#REF!</v>
      </c>
      <c r="R32" s="100" t="e">
        <f t="shared" si="20"/>
        <v>#REF!</v>
      </c>
      <c r="S32" s="100" t="e">
        <f t="shared" si="20"/>
        <v>#REF!</v>
      </c>
    </row>
    <row r="33" spans="2:19" x14ac:dyDescent="0.25">
      <c r="B33" s="141" t="s">
        <v>261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</row>
    <row r="34" spans="2:19" x14ac:dyDescent="0.25">
      <c r="B34" s="55" t="s">
        <v>262</v>
      </c>
      <c r="C34" s="65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1">
        <f>SUM(C34:N34)</f>
        <v>0</v>
      </c>
      <c r="P34" s="46"/>
      <c r="Q34" s="46"/>
      <c r="R34" s="46"/>
      <c r="S34" s="46"/>
    </row>
    <row r="35" spans="2:19" x14ac:dyDescent="0.25">
      <c r="B35" s="55" t="s">
        <v>263</v>
      </c>
      <c r="C35" s="104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51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5" t="s">
        <v>290</v>
      </c>
      <c r="C36" s="65">
        <f>'Plan de Inversion'!F22</f>
        <v>500000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1">
        <f t="shared" si="21"/>
        <v>500000</v>
      </c>
      <c r="P36" s="46"/>
      <c r="Q36" s="46"/>
      <c r="R36" s="46"/>
      <c r="S36" s="46"/>
    </row>
    <row r="37" spans="2:19" x14ac:dyDescent="0.25">
      <c r="B37" s="55" t="s">
        <v>264</v>
      </c>
      <c r="C37" s="65">
        <f>'Plan de Inversion'!F34</f>
        <v>8500000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51">
        <f t="shared" si="21"/>
        <v>8500000</v>
      </c>
      <c r="P37" s="46"/>
      <c r="Q37" s="46"/>
      <c r="R37" s="46"/>
      <c r="S37" s="46"/>
    </row>
    <row r="38" spans="2:19" x14ac:dyDescent="0.25">
      <c r="B38" s="55" t="s">
        <v>265</v>
      </c>
      <c r="C38" s="65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1">
        <f t="shared" si="21"/>
        <v>0</v>
      </c>
      <c r="P38" s="46"/>
      <c r="Q38" s="46"/>
      <c r="R38" s="46"/>
      <c r="S38" s="46"/>
    </row>
    <row r="39" spans="2:19" x14ac:dyDescent="0.25">
      <c r="B39" s="31" t="s">
        <v>251</v>
      </c>
      <c r="C39" s="100">
        <f>SUM(C34:C38)</f>
        <v>9000000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00">
        <f>SUM(O34:O38)</f>
        <v>9000000</v>
      </c>
      <c r="P39" s="55"/>
      <c r="Q39" s="55"/>
      <c r="R39" s="55"/>
      <c r="S39" s="55"/>
    </row>
    <row r="40" spans="2:19" x14ac:dyDescent="0.25">
      <c r="B40" s="130" t="s">
        <v>266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</row>
    <row r="41" spans="2:19" x14ac:dyDescent="0.25">
      <c r="B41" s="55" t="s">
        <v>267</v>
      </c>
      <c r="C41" s="65">
        <f>Creditos!C15</f>
        <v>980000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1">
        <f>SUM(C41:N41)</f>
        <v>980000</v>
      </c>
      <c r="P41" s="46"/>
      <c r="Q41" s="46"/>
      <c r="R41" s="46"/>
      <c r="S41" s="46"/>
    </row>
    <row r="42" spans="2:19" x14ac:dyDescent="0.25">
      <c r="B42" s="55" t="s">
        <v>268</v>
      </c>
      <c r="C42" s="65">
        <f>'Plan de Inversion'!F35</f>
        <v>9000000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1">
        <f>SUM(C42:N42)</f>
        <v>9000000</v>
      </c>
      <c r="P42" s="100">
        <f>P39-P40-P41</f>
        <v>0</v>
      </c>
      <c r="Q42" s="46"/>
      <c r="R42" s="46"/>
      <c r="S42" s="46"/>
    </row>
    <row r="43" spans="2:19" x14ac:dyDescent="0.25">
      <c r="B43" s="31" t="s">
        <v>251</v>
      </c>
      <c r="C43" s="102">
        <f>SUM(C41:C42)</f>
        <v>9980000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100">
        <f>SUM(O41:O42)</f>
        <v>9980000</v>
      </c>
      <c r="P43" s="55"/>
      <c r="Q43" s="55"/>
      <c r="R43" s="55"/>
      <c r="S43" s="55"/>
    </row>
    <row r="44" spans="2:19" x14ac:dyDescent="0.25">
      <c r="B44" s="130" t="s">
        <v>269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</row>
    <row r="45" spans="2:19" x14ac:dyDescent="0.25">
      <c r="B45" s="7" t="s">
        <v>270</v>
      </c>
      <c r="C45" s="65">
        <f>Creditos!$C23</f>
        <v>27573.121731834264</v>
      </c>
      <c r="D45" s="65">
        <f>Creditos!$C24</f>
        <v>27573.121731834264</v>
      </c>
      <c r="E45" s="65">
        <f>Creditos!$C25</f>
        <v>27573.121731834264</v>
      </c>
      <c r="F45" s="65">
        <f>Creditos!$C26</f>
        <v>27573.121731834264</v>
      </c>
      <c r="G45" s="65">
        <f>Creditos!$C27</f>
        <v>27573.121731834264</v>
      </c>
      <c r="H45" s="65">
        <f>Creditos!$C28</f>
        <v>27573.121731834264</v>
      </c>
      <c r="I45" s="65">
        <f>Creditos!$C29</f>
        <v>27573.121731834264</v>
      </c>
      <c r="J45" s="65">
        <f>Creditos!$C30</f>
        <v>27573.121731834264</v>
      </c>
      <c r="K45" s="65">
        <f>Creditos!$C31</f>
        <v>27573.121731834264</v>
      </c>
      <c r="L45" s="65">
        <f>Creditos!$C32</f>
        <v>27573.121731834264</v>
      </c>
      <c r="M45" s="65">
        <f>Creditos!$C33</f>
        <v>27573.121731834264</v>
      </c>
      <c r="N45" s="65">
        <f>Creditos!$C34</f>
        <v>27573.121731834264</v>
      </c>
      <c r="O45" s="65">
        <f>SUM(C45:N45)</f>
        <v>330877.4607820111</v>
      </c>
      <c r="P45" s="51">
        <f>+SUM('[1]Resumen Plan de Inversion'!E73:E84)</f>
        <v>2170034.7808314692</v>
      </c>
      <c r="Q45" s="51">
        <f>+SUM('[1]Resumen Plan de Inversion'!E85:E96)</f>
        <v>2533844.966403658</v>
      </c>
      <c r="R45" s="51">
        <f>+SUM('[1]Resumen Plan de Inversion'!E97:E108)</f>
        <v>2958648.5758118266</v>
      </c>
      <c r="S45" s="51">
        <v>0</v>
      </c>
    </row>
    <row r="46" spans="2:19" x14ac:dyDescent="0.25">
      <c r="B46" s="7" t="s">
        <v>271</v>
      </c>
      <c r="C46" s="65">
        <f>Creditos!$D23</f>
        <v>12740</v>
      </c>
      <c r="D46" s="65">
        <f>Creditos!$D24</f>
        <v>12547.169417486155</v>
      </c>
      <c r="E46" s="65">
        <f>Creditos!$D25</f>
        <v>12351.832037399628</v>
      </c>
      <c r="F46" s="65">
        <f>Creditos!$D26</f>
        <v>12153.955271371979</v>
      </c>
      <c r="G46" s="65">
        <f>Creditos!$D27</f>
        <v>11953.506107385971</v>
      </c>
      <c r="H46" s="65">
        <f>Creditos!$D28</f>
        <v>11750.451104268142</v>
      </c>
      <c r="I46" s="65">
        <f>Creditos!$D29</f>
        <v>11544.756386109782</v>
      </c>
      <c r="J46" s="65">
        <f>Creditos!$D30</f>
        <v>11336.387636615364</v>
      </c>
      <c r="K46" s="65">
        <f>Creditos!$D31</f>
        <v>11125.310093377517</v>
      </c>
      <c r="L46" s="65">
        <f>Creditos!$D32</f>
        <v>10911.488542077579</v>
      </c>
      <c r="M46" s="65">
        <f>Creditos!$D33</f>
        <v>10694.887310610742</v>
      </c>
      <c r="N46" s="65">
        <f>Creditos!$D34</f>
        <v>10475.470263134837</v>
      </c>
      <c r="O46" s="65">
        <f t="shared" ref="O46:S48" si="22">SUM(C46:N46)</f>
        <v>139585.21416983771</v>
      </c>
      <c r="P46" s="51">
        <f>+SUM('[1]Resumen Plan de Inversion'!D73:D84)</f>
        <v>1044537.288239242</v>
      </c>
      <c r="Q46" s="51">
        <f>+SUM('[1]Resumen Plan de Inversion'!D85:D96)</f>
        <v>680727.10266705311</v>
      </c>
      <c r="R46" s="51">
        <f>+SUM('[1]Resumen Plan de Inversion'!D97:D108)</f>
        <v>255923.49325888467</v>
      </c>
      <c r="S46" s="51">
        <v>0</v>
      </c>
    </row>
    <row r="47" spans="2:19" x14ac:dyDescent="0.25">
      <c r="B47" s="7" t="s">
        <v>272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2"/>
        <v>0</v>
      </c>
      <c r="P47" s="51">
        <f t="shared" si="22"/>
        <v>0</v>
      </c>
      <c r="Q47" s="51">
        <f t="shared" si="22"/>
        <v>0</v>
      </c>
      <c r="R47" s="51">
        <f t="shared" si="22"/>
        <v>0</v>
      </c>
      <c r="S47" s="51">
        <f t="shared" si="22"/>
        <v>0</v>
      </c>
    </row>
    <row r="48" spans="2:19" x14ac:dyDescent="0.25">
      <c r="B48" s="7" t="s">
        <v>273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>
        <f t="shared" si="22"/>
        <v>0</v>
      </c>
      <c r="P48" s="51">
        <f t="shared" si="22"/>
        <v>0</v>
      </c>
      <c r="Q48" s="51">
        <f t="shared" si="22"/>
        <v>0</v>
      </c>
      <c r="R48" s="51">
        <f t="shared" si="22"/>
        <v>0</v>
      </c>
      <c r="S48" s="51">
        <f t="shared" si="22"/>
        <v>0</v>
      </c>
    </row>
    <row r="49" spans="2:22" x14ac:dyDescent="0.25">
      <c r="B49" s="66" t="s">
        <v>251</v>
      </c>
      <c r="C49" s="102">
        <f>SUM(C45:C48)</f>
        <v>40313.121731834268</v>
      </c>
      <c r="D49" s="102">
        <f t="shared" ref="D49:N49" si="23">SUM(D45:D48)</f>
        <v>40120.291149320416</v>
      </c>
      <c r="E49" s="102">
        <f t="shared" si="23"/>
        <v>39924.953769233893</v>
      </c>
      <c r="F49" s="102">
        <f t="shared" si="23"/>
        <v>39727.077003206243</v>
      </c>
      <c r="G49" s="102">
        <f t="shared" si="23"/>
        <v>39526.627839220237</v>
      </c>
      <c r="H49" s="102">
        <f t="shared" si="23"/>
        <v>39323.572836102408</v>
      </c>
      <c r="I49" s="102">
        <f t="shared" si="23"/>
        <v>39117.878117944048</v>
      </c>
      <c r="J49" s="102">
        <f t="shared" si="23"/>
        <v>38909.509368449624</v>
      </c>
      <c r="K49" s="102">
        <f t="shared" si="23"/>
        <v>38698.431825211781</v>
      </c>
      <c r="L49" s="102">
        <f t="shared" si="23"/>
        <v>38484.610273911843</v>
      </c>
      <c r="M49" s="102">
        <f t="shared" si="23"/>
        <v>38268.009042445003</v>
      </c>
      <c r="N49" s="102">
        <f t="shared" si="23"/>
        <v>38048.591994969102</v>
      </c>
      <c r="O49" s="102">
        <f>SUM(O45:O48)</f>
        <v>470462.67495184881</v>
      </c>
      <c r="P49" s="100">
        <f>SUM(P45:P48)</f>
        <v>3214572.0690707113</v>
      </c>
      <c r="Q49" s="100">
        <f t="shared" ref="Q49:S49" si="24">SUM(Q45:Q48)</f>
        <v>3214572.0690707113</v>
      </c>
      <c r="R49" s="100">
        <f t="shared" si="24"/>
        <v>3214572.0690707113</v>
      </c>
      <c r="S49" s="100">
        <f t="shared" si="24"/>
        <v>0</v>
      </c>
    </row>
    <row r="50" spans="2:22" x14ac:dyDescent="0.25">
      <c r="B50" s="66" t="s">
        <v>274</v>
      </c>
      <c r="C50" s="102">
        <f>C32-C39+C43-C49</f>
        <v>16727353.544934837</v>
      </c>
      <c r="D50" s="102">
        <f t="shared" ref="D50:M50" si="25">D32-D39+D43-D49</f>
        <v>15637546.375517352</v>
      </c>
      <c r="E50" s="102">
        <f t="shared" si="25"/>
        <v>15637741.712897439</v>
      </c>
      <c r="F50" s="102">
        <f t="shared" si="25"/>
        <v>15637939.589663465</v>
      </c>
      <c r="G50" s="102">
        <f t="shared" si="25"/>
        <v>15638140.038827451</v>
      </c>
      <c r="H50" s="102">
        <f t="shared" si="25"/>
        <v>15638343.093830569</v>
      </c>
      <c r="I50" s="102">
        <f t="shared" si="25"/>
        <v>15638548.788548728</v>
      </c>
      <c r="J50" s="102">
        <f t="shared" si="25"/>
        <v>15638757.157298222</v>
      </c>
      <c r="K50" s="102">
        <f t="shared" si="25"/>
        <v>15638968.23484146</v>
      </c>
      <c r="L50" s="102">
        <f t="shared" si="25"/>
        <v>15639182.056392759</v>
      </c>
      <c r="M50" s="102">
        <f t="shared" si="25"/>
        <v>15639398.657624226</v>
      </c>
      <c r="N50" s="102">
        <f>N32-N39+N43-N49</f>
        <v>15639618.074671702</v>
      </c>
      <c r="O50" s="102" t="e">
        <f>O32-O39+O43-O49</f>
        <v>#REF!</v>
      </c>
      <c r="P50" s="100" t="e">
        <f t="shared" ref="P50:S50" si="26">P32-P39+P43-P49</f>
        <v>#REF!</v>
      </c>
      <c r="Q50" s="100" t="e">
        <f t="shared" si="26"/>
        <v>#REF!</v>
      </c>
      <c r="R50" s="100" t="e">
        <f t="shared" si="26"/>
        <v>#REF!</v>
      </c>
      <c r="S50" s="100" t="e">
        <f t="shared" si="26"/>
        <v>#REF!</v>
      </c>
    </row>
    <row r="51" spans="2:22" x14ac:dyDescent="0.25">
      <c r="B51" s="130" t="s">
        <v>275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</row>
    <row r="52" spans="2:22" x14ac:dyDescent="0.25">
      <c r="B52" s="1" t="s">
        <v>276</v>
      </c>
      <c r="C52" s="65">
        <v>0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51">
        <f>+O5*'[1]Estados de Resultados'!$D$34</f>
        <v>38000000.000000022</v>
      </c>
      <c r="P52" s="51">
        <f>+P5*'[1]Estados de Resultados'!$D$34</f>
        <v>16047400</v>
      </c>
      <c r="Q52" s="51">
        <f>+Q5*'[1]Estados de Resultados'!$D$34</f>
        <v>16528822</v>
      </c>
      <c r="R52" s="51">
        <f>+R5*'[1]Estados de Resultados'!$D$34</f>
        <v>17024686.66</v>
      </c>
      <c r="S52" s="51">
        <f>+S5*'[1]Estados de Resultados'!$D$34</f>
        <v>17535427.259800002</v>
      </c>
    </row>
    <row r="53" spans="2:22" x14ac:dyDescent="0.25">
      <c r="B53" s="1" t="s">
        <v>277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51">
        <f>SUM(C53:N53)</f>
        <v>0</v>
      </c>
      <c r="P53" s="51">
        <f>+O53</f>
        <v>0</v>
      </c>
      <c r="Q53" s="51">
        <f t="shared" ref="Q53:S53" si="27">+P53</f>
        <v>0</v>
      </c>
      <c r="R53" s="51">
        <f t="shared" si="27"/>
        <v>0</v>
      </c>
      <c r="S53" s="51">
        <f t="shared" si="27"/>
        <v>0</v>
      </c>
    </row>
    <row r="54" spans="2:22" x14ac:dyDescent="0.25">
      <c r="B54" s="1" t="s">
        <v>278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51"/>
      <c r="P54" s="51"/>
      <c r="Q54" s="51"/>
      <c r="R54" s="51"/>
      <c r="S54" s="51"/>
    </row>
    <row r="55" spans="2:22" x14ac:dyDescent="0.25">
      <c r="B55" s="31" t="s">
        <v>251</v>
      </c>
      <c r="C55" s="102">
        <f t="shared" ref="C55:S55" si="28">C52-C53-C54</f>
        <v>0</v>
      </c>
      <c r="D55" s="102">
        <f t="shared" si="28"/>
        <v>0</v>
      </c>
      <c r="E55" s="102">
        <f t="shared" si="28"/>
        <v>0</v>
      </c>
      <c r="F55" s="102">
        <f t="shared" si="28"/>
        <v>0</v>
      </c>
      <c r="G55" s="102">
        <f t="shared" si="28"/>
        <v>0</v>
      </c>
      <c r="H55" s="102">
        <f t="shared" si="28"/>
        <v>0</v>
      </c>
      <c r="I55" s="102">
        <f t="shared" si="28"/>
        <v>0</v>
      </c>
      <c r="J55" s="102">
        <f t="shared" si="28"/>
        <v>0</v>
      </c>
      <c r="K55" s="102">
        <f t="shared" si="28"/>
        <v>0</v>
      </c>
      <c r="L55" s="102">
        <f t="shared" si="28"/>
        <v>0</v>
      </c>
      <c r="M55" s="102">
        <f t="shared" si="28"/>
        <v>0</v>
      </c>
      <c r="N55" s="102">
        <f t="shared" si="28"/>
        <v>0</v>
      </c>
      <c r="O55" s="100">
        <f t="shared" si="28"/>
        <v>38000000.000000022</v>
      </c>
      <c r="P55" s="100">
        <f t="shared" si="28"/>
        <v>16047400</v>
      </c>
      <c r="Q55" s="100">
        <f t="shared" si="28"/>
        <v>16528822</v>
      </c>
      <c r="R55" s="100">
        <f t="shared" si="28"/>
        <v>17024686.66</v>
      </c>
      <c r="S55" s="100">
        <f t="shared" si="28"/>
        <v>17535427.259800002</v>
      </c>
    </row>
    <row r="56" spans="2:22" x14ac:dyDescent="0.25">
      <c r="B56" s="31" t="s">
        <v>279</v>
      </c>
      <c r="C56" s="102">
        <f>+C50+C55</f>
        <v>16727353.544934837</v>
      </c>
      <c r="D56" s="102">
        <f>+D50+D55</f>
        <v>15637546.375517352</v>
      </c>
      <c r="E56" s="102">
        <f t="shared" ref="E56:M56" si="29">+E50+E55</f>
        <v>15637741.712897439</v>
      </c>
      <c r="F56" s="102">
        <f t="shared" si="29"/>
        <v>15637939.589663465</v>
      </c>
      <c r="G56" s="102">
        <f t="shared" si="29"/>
        <v>15638140.038827451</v>
      </c>
      <c r="H56" s="102">
        <f t="shared" si="29"/>
        <v>15638343.093830569</v>
      </c>
      <c r="I56" s="102">
        <f t="shared" si="29"/>
        <v>15638548.788548728</v>
      </c>
      <c r="J56" s="102">
        <f t="shared" si="29"/>
        <v>15638757.157298222</v>
      </c>
      <c r="K56" s="102">
        <f t="shared" si="29"/>
        <v>15638968.23484146</v>
      </c>
      <c r="L56" s="102">
        <f t="shared" si="29"/>
        <v>15639182.056392759</v>
      </c>
      <c r="M56" s="102">
        <f t="shared" si="29"/>
        <v>15639398.657624226</v>
      </c>
      <c r="N56" s="102">
        <f>+N50+N55</f>
        <v>15639618.074671702</v>
      </c>
      <c r="O56" s="100" t="e">
        <f>+O50+O55</f>
        <v>#REF!</v>
      </c>
      <c r="P56" s="100" t="e">
        <f t="shared" ref="P56:S56" si="30">+P50+P55</f>
        <v>#REF!</v>
      </c>
      <c r="Q56" s="100" t="e">
        <f t="shared" si="30"/>
        <v>#REF!</v>
      </c>
      <c r="R56" s="100" t="e">
        <f t="shared" si="30"/>
        <v>#REF!</v>
      </c>
      <c r="S56" s="100" t="e">
        <f t="shared" si="30"/>
        <v>#REF!</v>
      </c>
    </row>
    <row r="57" spans="2:22" x14ac:dyDescent="0.25">
      <c r="B57" s="55"/>
      <c r="C57" s="102"/>
      <c r="D57" s="102">
        <f>C58</f>
        <v>16727353.544934837</v>
      </c>
      <c r="E57" s="102">
        <f t="shared" ref="E57:N57" si="31">D58</f>
        <v>32364899.920452189</v>
      </c>
      <c r="F57" s="102">
        <f t="shared" si="31"/>
        <v>48002641.633349627</v>
      </c>
      <c r="G57" s="102">
        <f t="shared" si="31"/>
        <v>63640581.223013088</v>
      </c>
      <c r="H57" s="102">
        <f t="shared" si="31"/>
        <v>79278721.261840537</v>
      </c>
      <c r="I57" s="102">
        <f t="shared" si="31"/>
        <v>94917064.355671108</v>
      </c>
      <c r="J57" s="102">
        <f t="shared" si="31"/>
        <v>110555613.14421983</v>
      </c>
      <c r="K57" s="102">
        <f t="shared" si="31"/>
        <v>126194370.30151805</v>
      </c>
      <c r="L57" s="102">
        <f t="shared" si="31"/>
        <v>141833338.53635952</v>
      </c>
      <c r="M57" s="102">
        <f t="shared" si="31"/>
        <v>157472520.59275228</v>
      </c>
      <c r="N57" s="102">
        <f t="shared" si="31"/>
        <v>173111919.25037649</v>
      </c>
      <c r="O57" s="100">
        <f>+SUM(D57:N57)</f>
        <v>1044099023.7644875</v>
      </c>
      <c r="P57" s="100" t="e">
        <f>+O58</f>
        <v>#REF!</v>
      </c>
      <c r="Q57" s="100" t="e">
        <f t="shared" ref="Q57:S57" si="32">+P58</f>
        <v>#REF!</v>
      </c>
      <c r="R57" s="100" t="e">
        <f t="shared" si="32"/>
        <v>#REF!</v>
      </c>
      <c r="S57" s="100" t="e">
        <f t="shared" si="32"/>
        <v>#REF!</v>
      </c>
    </row>
    <row r="58" spans="2:22" x14ac:dyDescent="0.25">
      <c r="B58" s="31" t="s">
        <v>280</v>
      </c>
      <c r="C58" s="102">
        <f>+C56+C57</f>
        <v>16727353.544934837</v>
      </c>
      <c r="D58" s="102">
        <f t="shared" ref="D58:O58" si="33">+D56+D57</f>
        <v>32364899.920452189</v>
      </c>
      <c r="E58" s="102">
        <f t="shared" si="33"/>
        <v>48002641.633349627</v>
      </c>
      <c r="F58" s="102">
        <f t="shared" si="33"/>
        <v>63640581.223013088</v>
      </c>
      <c r="G58" s="102">
        <f t="shared" si="33"/>
        <v>79278721.261840537</v>
      </c>
      <c r="H58" s="102">
        <f t="shared" si="33"/>
        <v>94917064.355671108</v>
      </c>
      <c r="I58" s="102">
        <f t="shared" si="33"/>
        <v>110555613.14421983</v>
      </c>
      <c r="J58" s="102">
        <f t="shared" si="33"/>
        <v>126194370.30151805</v>
      </c>
      <c r="K58" s="102">
        <f>+K56+K57</f>
        <v>141833338.53635952</v>
      </c>
      <c r="L58" s="102">
        <f t="shared" si="33"/>
        <v>157472520.59275228</v>
      </c>
      <c r="M58" s="102">
        <f t="shared" si="33"/>
        <v>173111919.25037649</v>
      </c>
      <c r="N58" s="102">
        <f t="shared" si="33"/>
        <v>188751537.32504821</v>
      </c>
      <c r="O58" s="100" t="e">
        <f t="shared" si="33"/>
        <v>#REF!</v>
      </c>
      <c r="P58" s="100" t="e">
        <f>+SUM(P56:P57)</f>
        <v>#REF!</v>
      </c>
      <c r="Q58" s="100" t="e">
        <f t="shared" ref="Q58:S58" si="34">+SUM(Q56:Q57)</f>
        <v>#REF!</v>
      </c>
      <c r="R58" s="100" t="e">
        <f t="shared" si="34"/>
        <v>#REF!</v>
      </c>
      <c r="S58" s="100" t="e">
        <f t="shared" si="34"/>
        <v>#REF!</v>
      </c>
    </row>
    <row r="59" spans="2:22" x14ac:dyDescent="0.25">
      <c r="O59" t="s">
        <v>281</v>
      </c>
      <c r="P59" t="s">
        <v>282</v>
      </c>
      <c r="Q59" t="s">
        <v>283</v>
      </c>
      <c r="R59" t="s">
        <v>284</v>
      </c>
      <c r="S59" t="s">
        <v>285</v>
      </c>
    </row>
    <row r="60" spans="2:22" x14ac:dyDescent="0.25">
      <c r="B60" s="31" t="s">
        <v>286</v>
      </c>
      <c r="C60" s="65">
        <f t="shared" ref="C60:S60" si="35">C58</f>
        <v>16727353.544934837</v>
      </c>
      <c r="D60" s="65">
        <f t="shared" si="35"/>
        <v>32364899.920452189</v>
      </c>
      <c r="E60" s="65">
        <f t="shared" si="35"/>
        <v>48002641.633349627</v>
      </c>
      <c r="F60" s="65">
        <f t="shared" si="35"/>
        <v>63640581.223013088</v>
      </c>
      <c r="G60" s="65">
        <f t="shared" si="35"/>
        <v>79278721.261840537</v>
      </c>
      <c r="H60" s="65">
        <f t="shared" si="35"/>
        <v>94917064.355671108</v>
      </c>
      <c r="I60" s="65">
        <f t="shared" si="35"/>
        <v>110555613.14421983</v>
      </c>
      <c r="J60" s="65">
        <f t="shared" si="35"/>
        <v>126194370.30151805</v>
      </c>
      <c r="K60" s="65">
        <f t="shared" si="35"/>
        <v>141833338.53635952</v>
      </c>
      <c r="L60" s="65">
        <f t="shared" si="35"/>
        <v>157472520.59275228</v>
      </c>
      <c r="M60" s="65">
        <f t="shared" si="35"/>
        <v>173111919.25037649</v>
      </c>
      <c r="N60" s="65">
        <f t="shared" si="35"/>
        <v>188751537.32504821</v>
      </c>
      <c r="O60" s="51" t="e">
        <f t="shared" si="35"/>
        <v>#REF!</v>
      </c>
      <c r="P60" s="51" t="e">
        <f t="shared" si="35"/>
        <v>#REF!</v>
      </c>
      <c r="Q60" s="51" t="e">
        <f t="shared" si="35"/>
        <v>#REF!</v>
      </c>
      <c r="R60" s="51" t="e">
        <f t="shared" si="35"/>
        <v>#REF!</v>
      </c>
      <c r="S60" s="51" t="e">
        <f t="shared" si="35"/>
        <v>#REF!</v>
      </c>
    </row>
    <row r="63" spans="2:22" x14ac:dyDescent="0.25">
      <c r="B63" s="31" t="s">
        <v>287</v>
      </c>
      <c r="C63" s="108">
        <f>-'Total de Inversion'!E15</f>
        <v>-20797720</v>
      </c>
      <c r="D63" s="111">
        <f>+C60</f>
        <v>16727353.544934837</v>
      </c>
      <c r="E63" s="111">
        <f t="shared" ref="E63:N63" si="36">+D60</f>
        <v>32364899.920452189</v>
      </c>
      <c r="F63" s="111">
        <f t="shared" si="36"/>
        <v>48002641.633349627</v>
      </c>
      <c r="G63" s="111">
        <f t="shared" si="36"/>
        <v>63640581.223013088</v>
      </c>
      <c r="H63" s="111">
        <f t="shared" si="36"/>
        <v>79278721.261840537</v>
      </c>
      <c r="I63" s="111">
        <f t="shared" si="36"/>
        <v>94917064.355671108</v>
      </c>
      <c r="J63" s="111">
        <f t="shared" si="36"/>
        <v>110555613.14421983</v>
      </c>
      <c r="K63" s="111">
        <f t="shared" si="36"/>
        <v>126194370.30151805</v>
      </c>
      <c r="L63" s="111">
        <f t="shared" si="36"/>
        <v>141833338.53635952</v>
      </c>
      <c r="M63" s="111">
        <f t="shared" si="36"/>
        <v>157472520.59275228</v>
      </c>
      <c r="N63" s="111">
        <f t="shared" si="36"/>
        <v>173111919.25037649</v>
      </c>
      <c r="U63" s="110">
        <f>IRR(C63:N63,0.1)</f>
        <v>1.3574283497794912</v>
      </c>
      <c r="V63" s="105"/>
    </row>
    <row r="64" spans="2:22" x14ac:dyDescent="0.25">
      <c r="B64" s="31" t="s">
        <v>288</v>
      </c>
      <c r="C64" s="65"/>
      <c r="D64" s="65">
        <f>+D63</f>
        <v>16727353.544934837</v>
      </c>
      <c r="E64" s="65">
        <f t="shared" ref="E64:N64" si="37">+E63</f>
        <v>32364899.920452189</v>
      </c>
      <c r="F64" s="65">
        <f t="shared" si="37"/>
        <v>48002641.633349627</v>
      </c>
      <c r="G64" s="65">
        <f t="shared" si="37"/>
        <v>63640581.223013088</v>
      </c>
      <c r="H64" s="65">
        <f t="shared" si="37"/>
        <v>79278721.261840537</v>
      </c>
      <c r="I64" s="65">
        <f t="shared" si="37"/>
        <v>94917064.355671108</v>
      </c>
      <c r="J64" s="65">
        <f t="shared" si="37"/>
        <v>110555613.14421983</v>
      </c>
      <c r="K64" s="65">
        <f t="shared" si="37"/>
        <v>126194370.30151805</v>
      </c>
      <c r="L64" s="65">
        <f t="shared" si="37"/>
        <v>141833338.53635952</v>
      </c>
      <c r="M64" s="65">
        <f t="shared" si="37"/>
        <v>157472520.59275228</v>
      </c>
      <c r="N64" s="65">
        <f t="shared" si="37"/>
        <v>173111919.25037649</v>
      </c>
    </row>
    <row r="65" spans="3:3" x14ac:dyDescent="0.25">
      <c r="C65" s="71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7"/>
  <sheetViews>
    <sheetView workbookViewId="0">
      <selection activeCell="C11" sqref="C11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15.5703125" bestFit="1" customWidth="1"/>
  </cols>
  <sheetData>
    <row r="4" spans="2:11" x14ac:dyDescent="0.25">
      <c r="B4" s="80" t="s">
        <v>291</v>
      </c>
      <c r="C4" s="92" t="s">
        <v>137</v>
      </c>
      <c r="D4" s="92" t="s">
        <v>124</v>
      </c>
      <c r="E4" s="92" t="s">
        <v>125</v>
      </c>
      <c r="F4" s="92" t="s">
        <v>126</v>
      </c>
      <c r="G4" s="92" t="s">
        <v>127</v>
      </c>
    </row>
    <row r="5" spans="2:11" x14ac:dyDescent="0.25">
      <c r="B5" s="1" t="s">
        <v>292</v>
      </c>
      <c r="C5" s="107">
        <f>IF('Estado de Perdida y Ganancias'!D11&lt;&gt;0,('Estado de Perdida y Ganancias'!D19)/'Estado de Perdida y Ganancias'!D11,0)</f>
        <v>1.0930568094465585</v>
      </c>
      <c r="D5" s="107">
        <f>IF('Estado de Perdida y Ganancias'!E11&lt;&gt;0,('Estado de Perdida y Ganancias'!E19)/'Estado de Perdida y Ganancias'!E11,0)</f>
        <v>1.0702710648619569</v>
      </c>
      <c r="E5" s="107">
        <f>IF('Estado de Perdida y Ganancias'!F11&lt;&gt;0,('Estado de Perdida y Ganancias'!F19)/'Estado de Perdida y Ganancias'!F11,0)</f>
        <v>1.0448978409222407</v>
      </c>
      <c r="F5" s="107">
        <f>IF('Estado de Perdida y Ganancias'!G11&lt;&gt;0,('Estado de Perdida y Ganancias'!G19)/'Estado de Perdida y Ganancias'!G11,0)</f>
        <v>1.0192260960797852</v>
      </c>
      <c r="G5" s="107">
        <f>IF('Estado de Perdida y Ganancias'!H11&lt;&gt;0,('Estado de Perdida y Ganancias'!H19)/'Estado de Perdida y Ganancias'!H11,0)</f>
        <v>1</v>
      </c>
    </row>
    <row r="6" spans="2:11" x14ac:dyDescent="0.25">
      <c r="B6" s="1" t="s">
        <v>293</v>
      </c>
      <c r="C6" s="107">
        <f>'Balance General'!D21/'Balance General'!C11</f>
        <v>1.8483426305898065</v>
      </c>
      <c r="D6" s="107">
        <f>'Balance General'!E21/'Balance General'!D11</f>
        <v>1.9346984018094009</v>
      </c>
      <c r="E6" s="107">
        <f>'Balance General'!F21/'Balance General'!E11</f>
        <v>2.021659983294231</v>
      </c>
      <c r="F6" s="107">
        <f>'Balance General'!G21/'Balance General'!F11</f>
        <v>2.097733070436508</v>
      </c>
      <c r="G6" s="107">
        <f>'Balance General'!H21/'Balance General'!G11</f>
        <v>2.1957546922123017</v>
      </c>
    </row>
    <row r="7" spans="2:11" x14ac:dyDescent="0.25">
      <c r="B7" s="1" t="s">
        <v>294</v>
      </c>
      <c r="C7" s="107">
        <f>'Estado de Perdida y Ganancias'!D11/'Estado de Perdida y Ganancias'!D8</f>
        <v>-7.4999999999999997E-3</v>
      </c>
      <c r="D7" s="107">
        <f>'Estado de Perdida y Ganancias'!E11/'Estado de Perdida y Ganancias'!E8</f>
        <v>-7.4999999999999997E-3</v>
      </c>
      <c r="E7" s="107">
        <f>'Estado de Perdida y Ganancias'!F11/'Estado de Perdida y Ganancias'!F8</f>
        <v>-7.4271844660194174E-3</v>
      </c>
      <c r="F7" s="107">
        <f>'Estado de Perdida y Ganancias'!G11/'Estado de Perdida y Ganancias'!G8</f>
        <v>-7.2843539955190443E-3</v>
      </c>
      <c r="G7" s="107">
        <f>'Estado de Perdida y Ganancias'!H11/'Estado de Perdida y Ganancias'!H8</f>
        <v>-7.1442702648360275E-3</v>
      </c>
    </row>
    <row r="8" spans="2:11" x14ac:dyDescent="0.25">
      <c r="B8" s="1" t="s">
        <v>295</v>
      </c>
      <c r="C8" s="107">
        <f>'Estado de Perdida y Ganancias'!D15/'Estado de Perdida y Ganancias'!D9</f>
        <v>-113.31336</v>
      </c>
      <c r="D8" s="107">
        <f>'Estado de Perdida y Ganancias'!E15/'Estado de Perdida y Ganancias'!E9</f>
        <v>-117.58384470588236</v>
      </c>
      <c r="E8" s="107">
        <f>'Estado de Perdida y Ganancias'!F15/'Estado de Perdida y Ganancias'!F9</f>
        <v>-120.94448758169935</v>
      </c>
      <c r="F8" s="107">
        <f>'Estado de Perdida y Ganancias'!G15/'Estado de Perdida y Ganancias'!G9</f>
        <v>-125.50892732508616</v>
      </c>
      <c r="G8" s="107">
        <f>'Estado de Perdida y Ganancias'!H15/'Estado de Perdida y Ganancias'!H9</f>
        <v>-129.09995642383726</v>
      </c>
    </row>
    <row r="9" spans="2:11" x14ac:dyDescent="0.25">
      <c r="B9" s="1" t="s">
        <v>298</v>
      </c>
      <c r="C9" s="107">
        <f>('Estado de Perdida y Ganancias'!D8-'Estado de Perdida y Ganancias'!D9)/'Estado de Perdida y Ganancias'!D8</f>
        <v>0.99250000000000005</v>
      </c>
      <c r="D9" s="112">
        <f>('Estado de Perdida y Ganancias'!E8-'Estado de Perdida y Ganancias'!E9)/'Estado de Perdida y Ganancias'!E8</f>
        <v>0.99250000000000005</v>
      </c>
      <c r="E9" s="112">
        <f>('Estado de Perdida y Ganancias'!F8-'Estado de Perdida y Ganancias'!F9)/'Estado de Perdida y Ganancias'!F8</f>
        <v>0.99257281553398058</v>
      </c>
      <c r="F9" s="112">
        <f>('Estado de Perdida y Ganancias'!G8-'Estado de Perdida y Ganancias'!G9)/'Estado de Perdida y Ganancias'!G8</f>
        <v>0.99271564600448092</v>
      </c>
      <c r="G9" s="112">
        <f>('Estado de Perdida y Ganancias'!H8-'Estado de Perdida y Ganancias'!H9)/'Estado de Perdida y Ganancias'!H8</f>
        <v>0.99285572973516401</v>
      </c>
    </row>
    <row r="10" spans="2:11" x14ac:dyDescent="0.25">
      <c r="B10" s="98" t="s">
        <v>101</v>
      </c>
      <c r="C10" s="116">
        <f>NPV(8%,'Flujo de Caja Mensual'!D64:N64)</f>
        <v>592713355.86747277</v>
      </c>
      <c r="D10" s="148" t="s">
        <v>319</v>
      </c>
      <c r="E10" s="148"/>
      <c r="F10" s="148"/>
      <c r="G10" s="148"/>
      <c r="H10" s="148"/>
    </row>
    <row r="11" spans="2:11" x14ac:dyDescent="0.25">
      <c r="B11" s="98" t="s">
        <v>107</v>
      </c>
      <c r="C11" s="117">
        <f>IRR('Flujo de Caja Mensual'!C63:N63)*10%</f>
        <v>0.13574283497794912</v>
      </c>
      <c r="D11" s="148" t="s">
        <v>320</v>
      </c>
      <c r="E11" s="148"/>
      <c r="F11" s="148"/>
      <c r="G11" s="148"/>
      <c r="H11" s="148"/>
    </row>
    <row r="12" spans="2:11" x14ac:dyDescent="0.25">
      <c r="B12" s="98" t="s">
        <v>299</v>
      </c>
      <c r="C12" s="118">
        <f>H37</f>
        <v>40582327.455919415</v>
      </c>
      <c r="D12" s="148" t="s">
        <v>321</v>
      </c>
      <c r="E12" s="148"/>
      <c r="F12" s="148"/>
      <c r="G12" s="148"/>
      <c r="H12" s="148"/>
      <c r="I12" s="109"/>
    </row>
    <row r="15" spans="2:11" x14ac:dyDescent="0.25">
      <c r="B15" s="130" t="s">
        <v>300</v>
      </c>
      <c r="C15" s="130"/>
      <c r="D15" s="130"/>
      <c r="E15" s="130"/>
      <c r="F15" s="130"/>
      <c r="G15" s="130"/>
      <c r="H15" s="130"/>
      <c r="I15" s="130"/>
      <c r="J15" s="130"/>
      <c r="K15" s="130"/>
    </row>
    <row r="16" spans="2:11" x14ac:dyDescent="0.25">
      <c r="B16" s="31" t="s">
        <v>301</v>
      </c>
      <c r="C16" s="149"/>
      <c r="D16" s="150"/>
      <c r="E16" s="150"/>
      <c r="F16" s="150"/>
      <c r="G16" s="150"/>
      <c r="H16" s="150"/>
      <c r="I16" s="150"/>
      <c r="J16" s="150"/>
      <c r="K16" s="151"/>
    </row>
    <row r="17" spans="2:11" x14ac:dyDescent="0.25">
      <c r="B17" s="31" t="s">
        <v>302</v>
      </c>
      <c r="C17" s="31" t="s">
        <v>303</v>
      </c>
      <c r="D17" s="31" t="s">
        <v>304</v>
      </c>
      <c r="E17" s="31" t="s">
        <v>305</v>
      </c>
      <c r="F17" s="31" t="s">
        <v>306</v>
      </c>
      <c r="G17" s="31" t="s">
        <v>307</v>
      </c>
      <c r="H17" s="130" t="s">
        <v>298</v>
      </c>
      <c r="I17" s="130"/>
      <c r="J17" s="31" t="s">
        <v>308</v>
      </c>
      <c r="K17" s="31" t="s">
        <v>309</v>
      </c>
    </row>
    <row r="18" spans="2:11" x14ac:dyDescent="0.25">
      <c r="B18" s="1" t="str">
        <f>'Presupuesto de ventas'!B6</f>
        <v>logortec</v>
      </c>
      <c r="C18" s="7">
        <f>'Presupuesto de ventas'!D50</f>
        <v>2000000</v>
      </c>
      <c r="D18" s="7">
        <f>'Materia Prima'!G19</f>
        <v>15000</v>
      </c>
      <c r="E18" s="1"/>
      <c r="F18" s="1"/>
      <c r="G18" s="7">
        <f>SUM(D18:F18)</f>
        <v>15000</v>
      </c>
      <c r="H18" s="7">
        <f>C18-G18</f>
        <v>1985000</v>
      </c>
      <c r="I18" s="106">
        <f>IF(C18=0,0,H18/C18)</f>
        <v>0.99250000000000005</v>
      </c>
      <c r="J18" s="35">
        <f>+'Presupuesto de compras y ventas'!E7/'Presupuesto de compras y ventas'!E14</f>
        <v>1</v>
      </c>
      <c r="K18" s="107">
        <f>I18*J18</f>
        <v>0.99250000000000005</v>
      </c>
    </row>
    <row r="19" spans="2:11" x14ac:dyDescent="0.25">
      <c r="B19" s="1"/>
      <c r="C19" s="40"/>
      <c r="D19" s="40"/>
      <c r="E19" s="1"/>
      <c r="F19" s="1"/>
      <c r="G19" s="40"/>
      <c r="H19" s="40"/>
      <c r="I19" s="106"/>
      <c r="J19" s="35"/>
      <c r="K19" s="107"/>
    </row>
    <row r="20" spans="2:11" x14ac:dyDescent="0.25">
      <c r="B20" s="1"/>
      <c r="C20" s="40"/>
      <c r="D20" s="40"/>
      <c r="E20" s="1"/>
      <c r="F20" s="1"/>
      <c r="G20" s="40"/>
      <c r="H20" s="40"/>
      <c r="I20" s="106"/>
      <c r="J20" s="35"/>
      <c r="K20" s="107"/>
    </row>
    <row r="21" spans="2:11" x14ac:dyDescent="0.25">
      <c r="B21" s="1"/>
      <c r="C21" s="40"/>
      <c r="D21" s="40"/>
      <c r="E21" s="1"/>
      <c r="F21" s="1"/>
      <c r="G21" s="40"/>
      <c r="H21" s="40"/>
      <c r="I21" s="106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30" t="s">
        <v>310</v>
      </c>
      <c r="H24" s="130"/>
      <c r="I24" s="130"/>
      <c r="J24" s="17">
        <f>SUM(J18:J23)</f>
        <v>1</v>
      </c>
      <c r="K24" s="107">
        <f>SUM(K18:K23)</f>
        <v>0.99250000000000005</v>
      </c>
    </row>
    <row r="27" spans="2:11" x14ac:dyDescent="0.25">
      <c r="B27" s="130" t="s">
        <v>311</v>
      </c>
      <c r="C27" s="130"/>
      <c r="D27" s="130"/>
      <c r="E27" s="130"/>
      <c r="F27" s="130"/>
      <c r="G27" s="130"/>
      <c r="H27" s="130"/>
      <c r="I27" s="130"/>
    </row>
    <row r="28" spans="2:11" x14ac:dyDescent="0.25">
      <c r="B28" s="152" t="s">
        <v>312</v>
      </c>
      <c r="C28" s="152"/>
      <c r="D28" s="66">
        <f>'Presupuesto de Costos y G año 1'!D17/K24</f>
        <v>159417672.54408059</v>
      </c>
      <c r="E28" s="31"/>
      <c r="F28" s="130" t="s">
        <v>313</v>
      </c>
      <c r="G28" s="130"/>
      <c r="H28" s="153" t="s">
        <v>314</v>
      </c>
      <c r="I28" s="153"/>
    </row>
    <row r="29" spans="2:11" x14ac:dyDescent="0.25">
      <c r="B29" s="31" t="s">
        <v>49</v>
      </c>
      <c r="C29" s="31" t="s">
        <v>312</v>
      </c>
      <c r="D29" s="31" t="s">
        <v>315</v>
      </c>
      <c r="E29" s="31" t="s">
        <v>316</v>
      </c>
      <c r="F29" s="31" t="s">
        <v>317</v>
      </c>
      <c r="G29" s="31" t="s">
        <v>138</v>
      </c>
      <c r="H29" s="31" t="s">
        <v>318</v>
      </c>
      <c r="I29" s="31" t="s">
        <v>138</v>
      </c>
    </row>
    <row r="30" spans="2:11" x14ac:dyDescent="0.25">
      <c r="B30" s="1" t="str">
        <f>B18</f>
        <v>logortec</v>
      </c>
      <c r="C30" s="7">
        <f>D28*E30</f>
        <v>159417672.54408059</v>
      </c>
      <c r="D30" s="52">
        <f>IF(C18=0,0,C30/C18)</f>
        <v>79.708836272040287</v>
      </c>
      <c r="E30" s="17">
        <f>+J24</f>
        <v>1</v>
      </c>
      <c r="F30" s="7">
        <f>'Presupuesto de compras y ventas'!E7</f>
        <v>200000000</v>
      </c>
      <c r="G30" s="40">
        <f>'Presupuesto de compras y ventas'!C7</f>
        <v>100</v>
      </c>
      <c r="H30" s="7">
        <f>+F30-C30</f>
        <v>40582327.455919415</v>
      </c>
      <c r="I30" s="52">
        <f>+G30-D30</f>
        <v>20.291163727959713</v>
      </c>
    </row>
    <row r="31" spans="2:11" x14ac:dyDescent="0.25">
      <c r="B31" s="1"/>
      <c r="C31" s="40"/>
      <c r="D31" s="52"/>
      <c r="E31" s="17"/>
      <c r="F31" s="40"/>
      <c r="G31" s="40"/>
      <c r="H31" s="40"/>
      <c r="I31" s="52"/>
    </row>
    <row r="32" spans="2:11" x14ac:dyDescent="0.25">
      <c r="B32" s="1"/>
      <c r="C32" s="40"/>
      <c r="D32" s="52"/>
      <c r="E32" s="17"/>
      <c r="F32" s="40"/>
      <c r="G32" s="40"/>
      <c r="H32" s="40"/>
      <c r="I32" s="52"/>
    </row>
    <row r="33" spans="2:9" x14ac:dyDescent="0.25">
      <c r="B33" s="1"/>
      <c r="C33" s="40"/>
      <c r="D33" s="1"/>
      <c r="E33" s="17"/>
      <c r="F33" s="40"/>
      <c r="G33" s="40"/>
      <c r="H33" s="40"/>
      <c r="I33" s="52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59</v>
      </c>
      <c r="C37" s="66">
        <f>SUM(C30:C36)</f>
        <v>159417672.54408059</v>
      </c>
      <c r="D37" s="43">
        <f t="shared" ref="D37:I37" si="0">SUM(D30:D36)</f>
        <v>79.708836272040287</v>
      </c>
      <c r="E37" s="43">
        <f t="shared" si="0"/>
        <v>1</v>
      </c>
      <c r="F37" s="66">
        <f t="shared" si="0"/>
        <v>200000000</v>
      </c>
      <c r="G37" s="43">
        <f t="shared" si="0"/>
        <v>100</v>
      </c>
      <c r="H37" s="66">
        <f t="shared" si="0"/>
        <v>40582327.455919415</v>
      </c>
      <c r="I37" s="43">
        <f t="shared" si="0"/>
        <v>20.291163727959713</v>
      </c>
    </row>
  </sheetData>
  <mergeCells count="11">
    <mergeCell ref="H17:I17"/>
    <mergeCell ref="G24:I24"/>
    <mergeCell ref="B27:I27"/>
    <mergeCell ref="B28:C28"/>
    <mergeCell ref="F28:G28"/>
    <mergeCell ref="H28:I28"/>
    <mergeCell ref="D10:H10"/>
    <mergeCell ref="D11:H11"/>
    <mergeCell ref="D12:H12"/>
    <mergeCell ref="B15:K15"/>
    <mergeCell ref="C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40"/>
  <sheetViews>
    <sheetView topLeftCell="A7" zoomScale="112" zoomScaleNormal="112" workbookViewId="0">
      <selection activeCell="G27" sqref="G27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20.5703125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20.7109375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24" t="s">
        <v>38</v>
      </c>
      <c r="C9" s="124"/>
      <c r="D9" s="124"/>
      <c r="E9" s="124"/>
      <c r="F9" s="125" t="s">
        <v>31</v>
      </c>
      <c r="G9" s="126"/>
      <c r="H9" s="126"/>
      <c r="I9" s="126"/>
      <c r="J9" s="126"/>
      <c r="K9" s="126"/>
      <c r="L9" s="126"/>
      <c r="M9" s="127"/>
      <c r="N9" s="128" t="s">
        <v>36</v>
      </c>
      <c r="O9" s="128"/>
      <c r="P9" s="128"/>
      <c r="Q9" s="128"/>
      <c r="R9" s="128"/>
      <c r="S9" s="128"/>
      <c r="T9" s="124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24"/>
    </row>
    <row r="11" spans="2:20" x14ac:dyDescent="0.25">
      <c r="B11" s="3">
        <v>1</v>
      </c>
      <c r="C11" s="1" t="str">
        <f>'Seleccion de Personal'!C11</f>
        <v>Hayder</v>
      </c>
      <c r="D11" s="1" t="str">
        <f>'Seleccion de Personal'!D11</f>
        <v>Molina</v>
      </c>
      <c r="E11" s="1" t="str">
        <f>'Seleccion de Personal'!E11</f>
        <v>Analista de Información</v>
      </c>
      <c r="F11" s="7">
        <v>1300000</v>
      </c>
      <c r="G11" s="14">
        <v>30</v>
      </c>
      <c r="H11" s="9">
        <f>(F11/30)*G11</f>
        <v>1300000</v>
      </c>
      <c r="I11" s="15"/>
      <c r="J11" s="15"/>
      <c r="K11" s="15"/>
      <c r="L11" s="15">
        <v>106454</v>
      </c>
      <c r="M11" s="15">
        <f>SUM(H11:L11)</f>
        <v>1406454</v>
      </c>
      <c r="N11" s="7">
        <f>H11*4%</f>
        <v>52000</v>
      </c>
      <c r="O11" s="7">
        <f>H11*4%</f>
        <v>52000</v>
      </c>
      <c r="P11" s="7"/>
      <c r="Q11" s="7"/>
      <c r="R11" s="7"/>
      <c r="S11" s="7">
        <f>SUM(N11:R11)</f>
        <v>104000</v>
      </c>
      <c r="T11" s="9">
        <f>M11-S11</f>
        <v>1302454</v>
      </c>
    </row>
    <row r="12" spans="2:20" x14ac:dyDescent="0.25">
      <c r="B12" s="3">
        <v>2</v>
      </c>
      <c r="C12" s="1" t="str">
        <f>'Seleccion de Personal'!C12</f>
        <v xml:space="preserve">Juan </v>
      </c>
      <c r="D12" s="1" t="str">
        <f>'Seleccion de Personal'!D12</f>
        <v>David Rondón</v>
      </c>
      <c r="E12" s="1" t="str">
        <f>'Seleccion de Personal'!E12</f>
        <v>Analista de Información</v>
      </c>
      <c r="F12" s="7">
        <v>1300000</v>
      </c>
      <c r="G12" s="14">
        <v>30</v>
      </c>
      <c r="H12" s="9">
        <f t="shared" ref="H12:H15" si="0">(F12/30)*G12</f>
        <v>1300000</v>
      </c>
      <c r="I12" s="15"/>
      <c r="J12" s="15"/>
      <c r="K12" s="15"/>
      <c r="L12" s="15">
        <v>106454</v>
      </c>
      <c r="M12" s="15">
        <f t="shared" ref="M12:M15" si="1">SUM(H12:L12)</f>
        <v>1406454</v>
      </c>
      <c r="N12" s="7">
        <f t="shared" ref="N12:N15" si="2">H12*4%</f>
        <v>52000</v>
      </c>
      <c r="O12" s="7">
        <f t="shared" ref="O12:O15" si="3">H12*4%</f>
        <v>52000</v>
      </c>
      <c r="P12" s="7"/>
      <c r="Q12" s="7"/>
      <c r="R12" s="7"/>
      <c r="S12" s="7">
        <f t="shared" ref="S12:S15" si="4">SUM(N12:R12)</f>
        <v>104000</v>
      </c>
      <c r="T12" s="9">
        <f t="shared" ref="T12:T15" si="5">M12-S12</f>
        <v>1302454</v>
      </c>
    </row>
    <row r="13" spans="2:20" x14ac:dyDescent="0.25">
      <c r="B13" s="3">
        <v>3</v>
      </c>
      <c r="C13" s="1" t="str">
        <f>'Seleccion de Personal'!C13</f>
        <v xml:space="preserve">Isabel Alejandra </v>
      </c>
      <c r="D13" s="1" t="str">
        <f>'Seleccion de Personal'!D13</f>
        <v>Ureña</v>
      </c>
      <c r="E13" s="1" t="str">
        <f>'Seleccion de Personal'!E13</f>
        <v>Analista de Información</v>
      </c>
      <c r="F13" s="7">
        <v>1300000</v>
      </c>
      <c r="G13" s="14">
        <v>30</v>
      </c>
      <c r="H13" s="9">
        <f t="shared" si="0"/>
        <v>1300000</v>
      </c>
      <c r="I13" s="15"/>
      <c r="J13" s="15"/>
      <c r="K13" s="15"/>
      <c r="L13" s="15">
        <v>106454</v>
      </c>
      <c r="M13" s="15">
        <f t="shared" si="1"/>
        <v>1406454</v>
      </c>
      <c r="N13" s="7">
        <f t="shared" si="2"/>
        <v>52000</v>
      </c>
      <c r="O13" s="7">
        <f t="shared" si="3"/>
        <v>52000</v>
      </c>
      <c r="P13" s="7"/>
      <c r="Q13" s="7"/>
      <c r="R13" s="7"/>
      <c r="S13" s="7">
        <f t="shared" si="4"/>
        <v>104000</v>
      </c>
      <c r="T13" s="9">
        <f t="shared" si="5"/>
        <v>1302454</v>
      </c>
    </row>
    <row r="14" spans="2:20" x14ac:dyDescent="0.25">
      <c r="B14" s="3">
        <v>4</v>
      </c>
      <c r="C14" s="1" t="str">
        <f>'Seleccion de Personal'!C14</f>
        <v xml:space="preserve">Yesid Arturo </v>
      </c>
      <c r="D14" s="1" t="str">
        <f>'Seleccion de Personal'!D14</f>
        <v>Rodríguez</v>
      </c>
      <c r="E14" s="1" t="str">
        <f>'Seleccion de Personal'!E14</f>
        <v>Analista de Información</v>
      </c>
      <c r="F14" s="7">
        <v>1300000</v>
      </c>
      <c r="G14" s="14">
        <v>30</v>
      </c>
      <c r="H14" s="9">
        <f t="shared" si="0"/>
        <v>1300000</v>
      </c>
      <c r="I14" s="15"/>
      <c r="J14" s="15"/>
      <c r="K14" s="15"/>
      <c r="L14" s="15">
        <v>106454</v>
      </c>
      <c r="M14" s="15">
        <f t="shared" si="1"/>
        <v>1406454</v>
      </c>
      <c r="N14" s="7">
        <f t="shared" si="2"/>
        <v>52000</v>
      </c>
      <c r="O14" s="7">
        <f t="shared" si="3"/>
        <v>52000</v>
      </c>
      <c r="P14" s="7"/>
      <c r="Q14" s="7"/>
      <c r="R14" s="7"/>
      <c r="S14" s="7">
        <f t="shared" si="4"/>
        <v>104000</v>
      </c>
      <c r="T14" s="9">
        <f t="shared" si="5"/>
        <v>1302454</v>
      </c>
    </row>
    <row r="15" spans="2:20" x14ac:dyDescent="0.25">
      <c r="B15" s="3">
        <v>5</v>
      </c>
      <c r="C15" s="1" t="str">
        <f>'Seleccion de Personal'!C15</f>
        <v xml:space="preserve">Fabio Esteban </v>
      </c>
      <c r="D15" s="1" t="str">
        <f>'Seleccion de Personal'!D15</f>
        <v xml:space="preserve">Rodriguez Hernandez </v>
      </c>
      <c r="E15" s="1" t="str">
        <f>'Seleccion de Personal'!E15</f>
        <v>Analista de Información</v>
      </c>
      <c r="F15" s="7">
        <v>1300000</v>
      </c>
      <c r="G15" s="14">
        <v>30</v>
      </c>
      <c r="H15" s="9">
        <f t="shared" si="0"/>
        <v>1300000</v>
      </c>
      <c r="I15" s="15"/>
      <c r="J15" s="15"/>
      <c r="K15" s="15"/>
      <c r="L15" s="15">
        <v>106454</v>
      </c>
      <c r="M15" s="15">
        <f t="shared" si="1"/>
        <v>1406454</v>
      </c>
      <c r="N15" s="7">
        <f t="shared" si="2"/>
        <v>52000</v>
      </c>
      <c r="O15" s="7">
        <f t="shared" si="3"/>
        <v>52000</v>
      </c>
      <c r="P15" s="7"/>
      <c r="Q15" s="7"/>
      <c r="R15" s="7"/>
      <c r="S15" s="7">
        <f t="shared" si="4"/>
        <v>104000</v>
      </c>
      <c r="T15" s="9">
        <f t="shared" si="5"/>
        <v>1302454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ref="T16:T20" si="6">M16-S16</f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6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6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6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6"/>
        <v>0</v>
      </c>
    </row>
    <row r="21" spans="2:20" x14ac:dyDescent="0.25">
      <c r="H21" s="16">
        <f>SUM(H11:H20)</f>
        <v>6500000</v>
      </c>
      <c r="I21" s="16">
        <f t="shared" ref="I21:M21" si="7">SUM(I11:I20)</f>
        <v>0</v>
      </c>
      <c r="J21" s="16">
        <f t="shared" si="7"/>
        <v>0</v>
      </c>
      <c r="K21" s="16">
        <f t="shared" si="7"/>
        <v>0</v>
      </c>
      <c r="L21" s="16">
        <f t="shared" si="7"/>
        <v>532270</v>
      </c>
      <c r="M21" s="16">
        <f t="shared" si="7"/>
        <v>7032270</v>
      </c>
      <c r="N21" s="16">
        <f t="shared" ref="N21" si="8">SUM(N11:N20)</f>
        <v>260000</v>
      </c>
      <c r="O21" s="16">
        <f t="shared" ref="O21" si="9">SUM(O11:O20)</f>
        <v>260000</v>
      </c>
      <c r="P21" s="16">
        <f t="shared" ref="P21" si="10">SUM(P11:P20)</f>
        <v>0</v>
      </c>
      <c r="Q21" s="16">
        <f t="shared" ref="Q21" si="11">SUM(Q11:Q20)</f>
        <v>0</v>
      </c>
      <c r="R21" s="16">
        <f t="shared" ref="R21" si="12">SUM(R11:R20)</f>
        <v>0</v>
      </c>
      <c r="S21" s="16">
        <f t="shared" ref="S21" si="13">SUM(S11:S20)</f>
        <v>520000</v>
      </c>
      <c r="T21" s="16">
        <f>SUM(T11:T20)</f>
        <v>6512270</v>
      </c>
    </row>
    <row r="27" spans="2:20" x14ac:dyDescent="0.25">
      <c r="G27" s="7"/>
    </row>
    <row r="28" spans="2:20" x14ac:dyDescent="0.25">
      <c r="P28" s="9">
        <f>I28-O28</f>
        <v>0</v>
      </c>
    </row>
    <row r="30" spans="2:20" x14ac:dyDescent="0.25">
      <c r="C30" s="30" t="s">
        <v>39</v>
      </c>
      <c r="D30" s="30" t="s">
        <v>40</v>
      </c>
      <c r="F30" s="20" t="s">
        <v>60</v>
      </c>
      <c r="H30" s="30" t="s">
        <v>61</v>
      </c>
      <c r="I30" s="9">
        <f>T21+F40</f>
        <v>9848720</v>
      </c>
      <c r="K30" s="45" t="s">
        <v>121</v>
      </c>
      <c r="L30" s="45" t="s">
        <v>175</v>
      </c>
      <c r="M30" s="45" t="s">
        <v>123</v>
      </c>
    </row>
    <row r="31" spans="2:20" x14ac:dyDescent="0.25">
      <c r="C31" s="1" t="s">
        <v>41</v>
      </c>
      <c r="D31" s="17">
        <v>0.04</v>
      </c>
      <c r="F31" s="9">
        <f>H$21*D31</f>
        <v>260000</v>
      </c>
      <c r="K31" s="55" t="s">
        <v>124</v>
      </c>
      <c r="L31" s="58">
        <v>0.06</v>
      </c>
      <c r="M31" s="63">
        <f>L31+1</f>
        <v>1.06</v>
      </c>
    </row>
    <row r="32" spans="2:20" x14ac:dyDescent="0.25">
      <c r="C32" s="1" t="s">
        <v>42</v>
      </c>
      <c r="D32" s="17">
        <v>0.03</v>
      </c>
      <c r="F32" s="9">
        <f t="shared" ref="F32:F39" si="14">H$21*D32</f>
        <v>195000</v>
      </c>
      <c r="K32" s="55" t="s">
        <v>125</v>
      </c>
      <c r="L32" s="58">
        <v>0.05</v>
      </c>
      <c r="M32" s="63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14"/>
        <v>130000</v>
      </c>
      <c r="K33" s="55" t="s">
        <v>126</v>
      </c>
      <c r="L33" s="58">
        <v>0.06</v>
      </c>
      <c r="M33" s="63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14"/>
        <v>780000</v>
      </c>
      <c r="K34" s="55" t="s">
        <v>127</v>
      </c>
      <c r="L34" s="58">
        <v>0.05</v>
      </c>
      <c r="M34" s="63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14"/>
        <v>552500</v>
      </c>
      <c r="K35" s="79"/>
      <c r="L35" t="s">
        <v>176</v>
      </c>
    </row>
    <row r="36" spans="3:13" x14ac:dyDescent="0.25">
      <c r="C36" s="1" t="s">
        <v>45</v>
      </c>
      <c r="D36" s="19">
        <v>8.3299999999999999E-2</v>
      </c>
      <c r="F36" s="9">
        <f t="shared" si="14"/>
        <v>541450</v>
      </c>
      <c r="K36" s="77"/>
    </row>
    <row r="37" spans="3:13" x14ac:dyDescent="0.25">
      <c r="C37" s="1" t="s">
        <v>46</v>
      </c>
      <c r="D37" s="17">
        <v>0.01</v>
      </c>
      <c r="F37" s="9">
        <f t="shared" si="14"/>
        <v>65000</v>
      </c>
      <c r="K37" s="77"/>
    </row>
    <row r="38" spans="3:13" x14ac:dyDescent="0.25">
      <c r="C38" s="1" t="s">
        <v>47</v>
      </c>
      <c r="D38" s="19">
        <v>8.3299999999999999E-2</v>
      </c>
      <c r="F38" s="9">
        <f t="shared" si="14"/>
        <v>541450</v>
      </c>
      <c r="K38" s="77"/>
    </row>
    <row r="39" spans="3:13" x14ac:dyDescent="0.25">
      <c r="C39" s="1" t="s">
        <v>48</v>
      </c>
      <c r="D39" s="19">
        <v>4.1700000000000001E-2</v>
      </c>
      <c r="F39" s="9">
        <f t="shared" si="14"/>
        <v>271050</v>
      </c>
      <c r="K39" s="77"/>
    </row>
    <row r="40" spans="3:13" x14ac:dyDescent="0.25">
      <c r="F40" s="21">
        <f>SUM(F31:F39)</f>
        <v>3336450</v>
      </c>
      <c r="K40" s="77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6"/>
  <sheetViews>
    <sheetView topLeftCell="B4" workbookViewId="0">
      <selection activeCell="E21" sqref="E21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29" t="s">
        <v>350</v>
      </c>
      <c r="E5" s="129"/>
      <c r="F5" s="129"/>
      <c r="G5" s="129"/>
    </row>
    <row r="6" spans="3:7" x14ac:dyDescent="0.25">
      <c r="C6" s="12" t="s">
        <v>50</v>
      </c>
      <c r="D6" s="129" t="s">
        <v>94</v>
      </c>
      <c r="E6" s="129"/>
      <c r="F6" s="129"/>
      <c r="G6" s="129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0</v>
      </c>
      <c r="F8" s="1">
        <v>1</v>
      </c>
      <c r="G8" s="7">
        <f>E8*F8</f>
        <v>0</v>
      </c>
    </row>
    <row r="9" spans="3:7" x14ac:dyDescent="0.25">
      <c r="C9" s="1" t="s">
        <v>57</v>
      </c>
      <c r="D9" s="1">
        <v>1</v>
      </c>
      <c r="E9" s="7">
        <v>0</v>
      </c>
      <c r="F9" s="1">
        <v>1</v>
      </c>
      <c r="G9" s="7">
        <f t="shared" ref="G9:G18" si="0">E9*F9</f>
        <v>0</v>
      </c>
    </row>
    <row r="10" spans="3:7" x14ac:dyDescent="0.25">
      <c r="C10" s="1" t="s">
        <v>58</v>
      </c>
      <c r="D10" s="1">
        <v>1</v>
      </c>
      <c r="E10" s="7">
        <v>0</v>
      </c>
      <c r="F10" s="1">
        <v>1</v>
      </c>
      <c r="G10" s="7">
        <f t="shared" si="0"/>
        <v>0</v>
      </c>
    </row>
    <row r="11" spans="3:7" x14ac:dyDescent="0.25">
      <c r="C11" s="1" t="s">
        <v>331</v>
      </c>
      <c r="D11" s="1">
        <v>1</v>
      </c>
      <c r="E11" s="7">
        <v>0</v>
      </c>
      <c r="F11" s="1">
        <v>1</v>
      </c>
      <c r="G11" s="7">
        <f t="shared" si="0"/>
        <v>0</v>
      </c>
    </row>
    <row r="12" spans="3:7" x14ac:dyDescent="0.25">
      <c r="C12" s="1" t="s">
        <v>332</v>
      </c>
      <c r="D12" s="1">
        <v>1</v>
      </c>
      <c r="E12" s="7">
        <v>15000</v>
      </c>
      <c r="F12" s="1">
        <v>1</v>
      </c>
      <c r="G12" s="7">
        <f t="shared" si="0"/>
        <v>15000</v>
      </c>
    </row>
    <row r="13" spans="3:7" x14ac:dyDescent="0.25">
      <c r="C13" s="1"/>
      <c r="D13" s="1"/>
      <c r="E13" s="7">
        <v>0</v>
      </c>
      <c r="F13" s="1"/>
      <c r="G13" s="7">
        <f t="shared" si="0"/>
        <v>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59</v>
      </c>
      <c r="G19" s="13">
        <f>SUM(G8:G18)</f>
        <v>15000</v>
      </c>
    </row>
    <row r="25" spans="3:7" x14ac:dyDescent="0.25">
      <c r="C25" s="130" t="s">
        <v>153</v>
      </c>
      <c r="D25" s="130"/>
      <c r="E25" s="130"/>
      <c r="F25" s="130"/>
    </row>
    <row r="26" spans="3:7" x14ac:dyDescent="0.25">
      <c r="C26" s="34" t="s">
        <v>49</v>
      </c>
      <c r="D26" s="34" t="s">
        <v>154</v>
      </c>
      <c r="E26" s="34" t="s">
        <v>155</v>
      </c>
      <c r="F26" s="34" t="s">
        <v>156</v>
      </c>
    </row>
    <row r="27" spans="3:7" x14ac:dyDescent="0.25">
      <c r="C27" s="46" t="str">
        <f>D5</f>
        <v>logortec</v>
      </c>
      <c r="D27" s="51">
        <f>'Presupuesto de ventas'!E6</f>
        <v>100</v>
      </c>
      <c r="E27" s="65">
        <f>G19</f>
        <v>15000</v>
      </c>
      <c r="F27" s="65">
        <f>(D27*E27)</f>
        <v>1500000</v>
      </c>
    </row>
    <row r="28" spans="3:7" x14ac:dyDescent="0.25">
      <c r="C28" s="46"/>
      <c r="D28" s="46"/>
      <c r="E28" s="51"/>
      <c r="F28" s="51"/>
    </row>
    <row r="29" spans="3:7" x14ac:dyDescent="0.25">
      <c r="C29" s="46"/>
      <c r="D29" s="46"/>
      <c r="E29" s="51"/>
      <c r="F29" s="51"/>
    </row>
    <row r="30" spans="3:7" x14ac:dyDescent="0.25">
      <c r="C30" s="46"/>
      <c r="D30" s="51"/>
      <c r="E30" s="51"/>
      <c r="F30" s="51"/>
    </row>
    <row r="31" spans="3:7" x14ac:dyDescent="0.25">
      <c r="C31" s="46"/>
      <c r="D31" s="46"/>
      <c r="E31" s="51"/>
      <c r="F31" s="51"/>
    </row>
    <row r="32" spans="3:7" x14ac:dyDescent="0.25">
      <c r="C32" s="46"/>
      <c r="D32" s="46"/>
      <c r="E32" s="51"/>
      <c r="F32" s="51"/>
    </row>
    <row r="33" spans="3:6" x14ac:dyDescent="0.25">
      <c r="C33" s="31" t="s">
        <v>59</v>
      </c>
      <c r="D33" s="31">
        <f>SUM(D27:D32)</f>
        <v>100</v>
      </c>
      <c r="E33" s="31"/>
      <c r="F33" s="66">
        <f>SUM(F27:F32)</f>
        <v>1500000</v>
      </c>
    </row>
    <row r="37" spans="3:6" x14ac:dyDescent="0.25">
      <c r="C37" s="31" t="s">
        <v>121</v>
      </c>
      <c r="D37" s="31" t="s">
        <v>157</v>
      </c>
      <c r="E37" s="31" t="s">
        <v>123</v>
      </c>
    </row>
    <row r="38" spans="3:6" x14ac:dyDescent="0.25">
      <c r="C38" s="55" t="s">
        <v>124</v>
      </c>
      <c r="D38" s="58">
        <v>0.02</v>
      </c>
      <c r="E38" s="63">
        <f>D38+1</f>
        <v>1.02</v>
      </c>
    </row>
    <row r="39" spans="3:6" x14ac:dyDescent="0.25">
      <c r="C39" s="55" t="s">
        <v>125</v>
      </c>
      <c r="D39" s="58">
        <v>0.02</v>
      </c>
      <c r="E39" s="63">
        <f>D39+1</f>
        <v>1.02</v>
      </c>
    </row>
    <row r="40" spans="3:6" x14ac:dyDescent="0.25">
      <c r="C40" s="55" t="s">
        <v>126</v>
      </c>
      <c r="D40" s="58">
        <v>0.02</v>
      </c>
      <c r="E40" s="63">
        <f>D40+1</f>
        <v>1.02</v>
      </c>
    </row>
    <row r="41" spans="3:6" x14ac:dyDescent="0.25">
      <c r="C41" s="55" t="s">
        <v>127</v>
      </c>
      <c r="D41" s="58">
        <v>0.02</v>
      </c>
      <c r="E41" s="63">
        <f>D41+1</f>
        <v>1.02</v>
      </c>
    </row>
    <row r="42" spans="3:6" x14ac:dyDescent="0.25">
      <c r="D42" t="s">
        <v>158</v>
      </c>
    </row>
    <row r="46" spans="3:6" ht="45" x14ac:dyDescent="0.25">
      <c r="C46" s="64" t="s">
        <v>159</v>
      </c>
      <c r="D46" s="45" t="s">
        <v>131</v>
      </c>
    </row>
    <row r="47" spans="3:6" x14ac:dyDescent="0.25">
      <c r="C47" s="31" t="s">
        <v>160</v>
      </c>
      <c r="D47" s="46">
        <v>9</v>
      </c>
    </row>
    <row r="48" spans="3:6" x14ac:dyDescent="0.25">
      <c r="C48" s="31" t="s">
        <v>133</v>
      </c>
      <c r="D48" s="46">
        <v>7</v>
      </c>
    </row>
    <row r="49" spans="3:6" x14ac:dyDescent="0.25">
      <c r="C49" s="31" t="s">
        <v>134</v>
      </c>
      <c r="D49" s="46">
        <v>5</v>
      </c>
    </row>
    <row r="50" spans="3:6" x14ac:dyDescent="0.25">
      <c r="C50" s="31" t="s">
        <v>135</v>
      </c>
      <c r="D50" s="46">
        <v>3</v>
      </c>
    </row>
    <row r="53" spans="3:6" x14ac:dyDescent="0.25">
      <c r="C53" s="34" t="s">
        <v>161</v>
      </c>
      <c r="D53" s="34" t="s">
        <v>131</v>
      </c>
      <c r="E53" s="34" t="s">
        <v>162</v>
      </c>
      <c r="F53" s="34" t="s">
        <v>163</v>
      </c>
    </row>
    <row r="54" spans="3:6" x14ac:dyDescent="0.25">
      <c r="C54" s="55" t="s">
        <v>140</v>
      </c>
      <c r="D54" s="49">
        <f>'Presupuesto de ventas'!C80</f>
        <v>5</v>
      </c>
      <c r="E54" s="49">
        <f>IF($D$66&gt;0,(D54/$D$66)*$D$33,0)</f>
        <v>8.3333333333333321</v>
      </c>
      <c r="F54" s="51">
        <f>IF(D33&gt;0,(F33*E54)/D33,0)</f>
        <v>124999.99999999999</v>
      </c>
    </row>
    <row r="55" spans="3:6" x14ac:dyDescent="0.25">
      <c r="C55" s="55" t="s">
        <v>141</v>
      </c>
      <c r="D55" s="49">
        <f>'Presupuesto de ventas'!C81</f>
        <v>5</v>
      </c>
      <c r="E55" s="49">
        <f t="shared" ref="E55:E65" si="1">IF($D$66&gt;0,(D55/$D$66)*$D$33,0)</f>
        <v>8.3333333333333321</v>
      </c>
      <c r="F55" s="51">
        <f>IF(D33&gt;0,(F33*E55)/D33,0)</f>
        <v>124999.99999999999</v>
      </c>
    </row>
    <row r="56" spans="3:6" x14ac:dyDescent="0.25">
      <c r="C56" s="55" t="s">
        <v>142</v>
      </c>
      <c r="D56" s="49">
        <f>'Presupuesto de ventas'!C82</f>
        <v>5</v>
      </c>
      <c r="E56" s="49">
        <f t="shared" si="1"/>
        <v>8.3333333333333321</v>
      </c>
      <c r="F56" s="51">
        <f>IF(D33&gt;0,(F33*E56)/D33,0)</f>
        <v>124999.99999999999</v>
      </c>
    </row>
    <row r="57" spans="3:6" x14ac:dyDescent="0.25">
      <c r="C57" s="55" t="s">
        <v>164</v>
      </c>
      <c r="D57" s="49">
        <f>'Presupuesto de ventas'!C83</f>
        <v>5</v>
      </c>
      <c r="E57" s="49">
        <f t="shared" si="1"/>
        <v>8.3333333333333321</v>
      </c>
      <c r="F57" s="51">
        <f>IF(D33&gt;0,(F33*E57)/D33,0)</f>
        <v>124999.99999999999</v>
      </c>
    </row>
    <row r="58" spans="3:6" x14ac:dyDescent="0.25">
      <c r="C58" s="55" t="s">
        <v>144</v>
      </c>
      <c r="D58" s="49">
        <f>'Presupuesto de ventas'!C84</f>
        <v>5</v>
      </c>
      <c r="E58" s="49">
        <f t="shared" si="1"/>
        <v>8.3333333333333321</v>
      </c>
      <c r="F58" s="51">
        <f>IF(D33&gt;0,(F33*E58)/D33,0)</f>
        <v>124999.99999999999</v>
      </c>
    </row>
    <row r="59" spans="3:6" x14ac:dyDescent="0.25">
      <c r="C59" s="55" t="s">
        <v>145</v>
      </c>
      <c r="D59" s="49">
        <f>'Presupuesto de ventas'!C85</f>
        <v>5</v>
      </c>
      <c r="E59" s="49">
        <f t="shared" si="1"/>
        <v>8.3333333333333321</v>
      </c>
      <c r="F59" s="51">
        <f>IF(D33&gt;0,(F33*E59)/D33,0)</f>
        <v>124999.99999999999</v>
      </c>
    </row>
    <row r="60" spans="3:6" x14ac:dyDescent="0.25">
      <c r="C60" s="55" t="s">
        <v>146</v>
      </c>
      <c r="D60" s="49">
        <f>'Presupuesto de ventas'!C86</f>
        <v>5</v>
      </c>
      <c r="E60" s="49">
        <f t="shared" si="1"/>
        <v>8.3333333333333321</v>
      </c>
      <c r="F60" s="51">
        <f>IF(D33&gt;0,(F33*E60)/D33,0)</f>
        <v>124999.99999999999</v>
      </c>
    </row>
    <row r="61" spans="3:6" x14ac:dyDescent="0.25">
      <c r="C61" s="55" t="s">
        <v>147</v>
      </c>
      <c r="D61" s="49">
        <f>'Presupuesto de ventas'!C87</f>
        <v>5</v>
      </c>
      <c r="E61" s="49">
        <f t="shared" si="1"/>
        <v>8.3333333333333321</v>
      </c>
      <c r="F61" s="51">
        <f>IF(D33&gt;0,(F33*E61)/D33,0)</f>
        <v>124999.99999999999</v>
      </c>
    </row>
    <row r="62" spans="3:6" x14ac:dyDescent="0.25">
      <c r="C62" s="55" t="s">
        <v>148</v>
      </c>
      <c r="D62" s="49">
        <f>'Presupuesto de ventas'!C88</f>
        <v>5</v>
      </c>
      <c r="E62" s="49">
        <f t="shared" si="1"/>
        <v>8.3333333333333321</v>
      </c>
      <c r="F62" s="51">
        <f>IF(D33&gt;0,(F33*E62)/D33,0)</f>
        <v>124999.99999999999</v>
      </c>
    </row>
    <row r="63" spans="3:6" x14ac:dyDescent="0.25">
      <c r="C63" s="55" t="s">
        <v>165</v>
      </c>
      <c r="D63" s="49">
        <f>'Presupuesto de ventas'!C89</f>
        <v>5</v>
      </c>
      <c r="E63" s="49">
        <f t="shared" si="1"/>
        <v>8.3333333333333321</v>
      </c>
      <c r="F63" s="51">
        <f>IF(D33&gt;0,(F33*E63)/D33,0)</f>
        <v>124999.99999999999</v>
      </c>
    </row>
    <row r="64" spans="3:6" x14ac:dyDescent="0.25">
      <c r="C64" s="55" t="s">
        <v>150</v>
      </c>
      <c r="D64" s="49">
        <f>'Presupuesto de ventas'!C90</f>
        <v>5</v>
      </c>
      <c r="E64" s="49">
        <f t="shared" si="1"/>
        <v>8.3333333333333321</v>
      </c>
      <c r="F64" s="51">
        <f>IF(D33&gt;0,(F33*E64)/D33,0)</f>
        <v>124999.99999999999</v>
      </c>
    </row>
    <row r="65" spans="3:6" x14ac:dyDescent="0.25">
      <c r="C65" s="55" t="s">
        <v>151</v>
      </c>
      <c r="D65" s="49">
        <f>'Presupuesto de ventas'!C91</f>
        <v>5</v>
      </c>
      <c r="E65" s="49">
        <f t="shared" si="1"/>
        <v>8.3333333333333321</v>
      </c>
      <c r="F65" s="51">
        <f>IF(D33&gt;0,(F33*E65)/D33,0)</f>
        <v>124999.99999999999</v>
      </c>
    </row>
    <row r="66" spans="3:6" x14ac:dyDescent="0.25">
      <c r="C66" s="31" t="s">
        <v>59</v>
      </c>
      <c r="D66" s="53">
        <f>SUM(D54:D65)</f>
        <v>60</v>
      </c>
      <c r="E66" s="53">
        <f>SUM(E54:E65)</f>
        <v>99.999999999999957</v>
      </c>
      <c r="F66" s="43">
        <f>SUM(F54:F65)</f>
        <v>1499999.9999999998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24"/>
  <sheetViews>
    <sheetView workbookViewId="0">
      <selection activeCell="D11" sqref="D11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79</v>
      </c>
      <c r="D8" s="20" t="s">
        <v>86</v>
      </c>
      <c r="E8" s="20" t="s">
        <v>87</v>
      </c>
    </row>
    <row r="9" spans="3:5" x14ac:dyDescent="0.25">
      <c r="C9" s="1" t="s">
        <v>80</v>
      </c>
      <c r="D9" s="7">
        <v>500000</v>
      </c>
      <c r="E9" s="7">
        <f>D9*12</f>
        <v>6000000</v>
      </c>
    </row>
    <row r="10" spans="3:5" x14ac:dyDescent="0.25">
      <c r="C10" s="1" t="s">
        <v>81</v>
      </c>
      <c r="D10" s="7">
        <v>8000</v>
      </c>
      <c r="E10" s="7">
        <f t="shared" ref="E10:E15" si="0">D10*12</f>
        <v>96000</v>
      </c>
    </row>
    <row r="11" spans="3:5" x14ac:dyDescent="0.25">
      <c r="C11" s="1" t="s">
        <v>82</v>
      </c>
      <c r="D11" s="7">
        <v>46000</v>
      </c>
      <c r="E11" s="7">
        <f t="shared" si="0"/>
        <v>552000</v>
      </c>
    </row>
    <row r="12" spans="3:5" x14ac:dyDescent="0.25">
      <c r="C12" s="1" t="s">
        <v>349</v>
      </c>
      <c r="D12" s="7">
        <v>200000</v>
      </c>
      <c r="E12" s="7">
        <f t="shared" si="0"/>
        <v>2400000</v>
      </c>
    </row>
    <row r="13" spans="3:5" x14ac:dyDescent="0.25">
      <c r="C13" s="1" t="s">
        <v>83</v>
      </c>
      <c r="D13" s="7">
        <v>100000</v>
      </c>
      <c r="E13" s="7">
        <f t="shared" si="0"/>
        <v>1200000</v>
      </c>
    </row>
    <row r="14" spans="3:5" x14ac:dyDescent="0.25">
      <c r="C14" s="1" t="s">
        <v>84</v>
      </c>
      <c r="D14" s="7">
        <v>0</v>
      </c>
      <c r="E14" s="7">
        <f t="shared" si="0"/>
        <v>0</v>
      </c>
    </row>
    <row r="15" spans="3:5" x14ac:dyDescent="0.25">
      <c r="C15" s="1" t="s">
        <v>85</v>
      </c>
      <c r="D15" s="7">
        <v>0</v>
      </c>
      <c r="E15" s="7">
        <f t="shared" si="0"/>
        <v>0</v>
      </c>
    </row>
    <row r="16" spans="3:5" x14ac:dyDescent="0.25">
      <c r="C16" s="27" t="s">
        <v>59</v>
      </c>
      <c r="D16" s="28">
        <f>SUM(D9:D15)</f>
        <v>854000</v>
      </c>
      <c r="E16" s="28">
        <f>SUM(E9:E15)</f>
        <v>10248000</v>
      </c>
    </row>
    <row r="19" spans="3:5" x14ac:dyDescent="0.25">
      <c r="C19" s="31" t="s">
        <v>121</v>
      </c>
      <c r="D19" s="31" t="s">
        <v>175</v>
      </c>
      <c r="E19" s="31" t="s">
        <v>197</v>
      </c>
    </row>
    <row r="20" spans="3:5" x14ac:dyDescent="0.25">
      <c r="C20" s="55" t="s">
        <v>124</v>
      </c>
      <c r="D20" s="58">
        <v>0.04</v>
      </c>
      <c r="E20" s="63">
        <f>D20+1</f>
        <v>1.04</v>
      </c>
    </row>
    <row r="21" spans="3:5" x14ac:dyDescent="0.25">
      <c r="C21" s="55" t="s">
        <v>125</v>
      </c>
      <c r="D21" s="58">
        <v>0.05</v>
      </c>
      <c r="E21" s="63">
        <f>D21+1</f>
        <v>1.05</v>
      </c>
    </row>
    <row r="22" spans="3:5" x14ac:dyDescent="0.25">
      <c r="C22" s="55" t="s">
        <v>126</v>
      </c>
      <c r="D22" s="58">
        <v>0.06</v>
      </c>
      <c r="E22" s="63">
        <f>D22+1</f>
        <v>1.06</v>
      </c>
    </row>
    <row r="23" spans="3:5" x14ac:dyDescent="0.25">
      <c r="C23" s="55" t="s">
        <v>127</v>
      </c>
      <c r="D23" s="58">
        <v>0.05</v>
      </c>
      <c r="E23" s="63">
        <f>D23+1</f>
        <v>1.05</v>
      </c>
    </row>
    <row r="24" spans="3:5" x14ac:dyDescent="0.25">
      <c r="D24" t="s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35"/>
  <sheetViews>
    <sheetView topLeftCell="D24" zoomScale="154" zoomScaleNormal="154" workbookViewId="0">
      <selection activeCell="G35" sqref="G35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1" t="s">
        <v>67</v>
      </c>
      <c r="C7" s="135" t="s">
        <v>64</v>
      </c>
      <c r="D7" s="136"/>
      <c r="E7" s="136"/>
      <c r="F7" s="136"/>
      <c r="G7" s="136"/>
    </row>
    <row r="8" spans="2:7" x14ac:dyDescent="0.25">
      <c r="B8" s="132"/>
      <c r="C8" s="22" t="s">
        <v>69</v>
      </c>
      <c r="D8" s="22" t="s">
        <v>71</v>
      </c>
      <c r="E8" s="22" t="s">
        <v>72</v>
      </c>
      <c r="F8" s="22" t="s">
        <v>65</v>
      </c>
      <c r="G8" s="22" t="s">
        <v>66</v>
      </c>
    </row>
    <row r="9" spans="2:7" x14ac:dyDescent="0.25">
      <c r="B9" s="1" t="s">
        <v>62</v>
      </c>
      <c r="C9" s="1"/>
      <c r="D9" s="7">
        <v>0</v>
      </c>
      <c r="E9" s="7">
        <f>D9*C9</f>
        <v>0</v>
      </c>
      <c r="F9" s="7"/>
      <c r="G9" s="7"/>
    </row>
    <row r="10" spans="2:7" x14ac:dyDescent="0.25">
      <c r="B10" s="1" t="s">
        <v>63</v>
      </c>
      <c r="C10" s="1"/>
      <c r="D10" s="7">
        <v>0</v>
      </c>
      <c r="E10" s="7">
        <f>C10*D10</f>
        <v>0</v>
      </c>
      <c r="F10" s="7"/>
      <c r="G10" s="7"/>
    </row>
    <row r="11" spans="2:7" x14ac:dyDescent="0.25">
      <c r="B11" s="23" t="s">
        <v>68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3" t="s">
        <v>75</v>
      </c>
      <c r="C12" s="134"/>
      <c r="D12" s="134"/>
      <c r="E12" s="134"/>
      <c r="F12" s="134"/>
      <c r="G12" s="134"/>
    </row>
    <row r="13" spans="2:7" x14ac:dyDescent="0.25">
      <c r="B13" s="1" t="s">
        <v>70</v>
      </c>
      <c r="C13" s="1">
        <v>3</v>
      </c>
      <c r="D13" s="7">
        <v>200000</v>
      </c>
      <c r="E13" s="7">
        <f>D13*C13</f>
        <v>600000</v>
      </c>
      <c r="F13" s="7">
        <v>200000</v>
      </c>
      <c r="G13" s="7">
        <v>300000</v>
      </c>
    </row>
    <row r="14" spans="2:7" x14ac:dyDescent="0.25">
      <c r="B14" s="1" t="s">
        <v>73</v>
      </c>
      <c r="C14" s="1">
        <v>3</v>
      </c>
      <c r="D14" s="24">
        <v>150000</v>
      </c>
      <c r="E14" s="7">
        <f>D14*C14</f>
        <v>450000</v>
      </c>
      <c r="F14" s="7">
        <v>300000</v>
      </c>
      <c r="G14" s="7">
        <v>150000</v>
      </c>
    </row>
    <row r="15" spans="2:7" x14ac:dyDescent="0.25">
      <c r="B15" s="1"/>
      <c r="C15" s="1"/>
      <c r="D15" s="24">
        <v>0</v>
      </c>
      <c r="E15" s="7">
        <f t="shared" ref="E15:E16" si="0">D15*C15</f>
        <v>0</v>
      </c>
      <c r="F15" s="7">
        <v>0</v>
      </c>
      <c r="G15" s="24">
        <v>0</v>
      </c>
    </row>
    <row r="16" spans="2:7" x14ac:dyDescent="0.25">
      <c r="B16" s="1"/>
      <c r="C16" s="1"/>
      <c r="D16" s="24">
        <v>0</v>
      </c>
      <c r="E16" s="7">
        <f t="shared" si="0"/>
        <v>0</v>
      </c>
      <c r="F16" s="7">
        <v>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7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7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7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7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7">
        <v>0</v>
      </c>
      <c r="G21" s="24">
        <v>0</v>
      </c>
    </row>
    <row r="22" spans="2:7" x14ac:dyDescent="0.25">
      <c r="B22" s="25" t="s">
        <v>95</v>
      </c>
      <c r="C22" s="25"/>
      <c r="D22" s="25"/>
      <c r="E22" s="16">
        <f>SUM(E13:E21)</f>
        <v>1050000</v>
      </c>
      <c r="F22" s="16">
        <f>SUM(F13:F21)</f>
        <v>500000</v>
      </c>
      <c r="G22" s="16">
        <f>SUM(G13:G21)</f>
        <v>450000</v>
      </c>
    </row>
    <row r="23" spans="2:7" x14ac:dyDescent="0.25">
      <c r="B23" s="137" t="s">
        <v>76</v>
      </c>
      <c r="C23" s="138"/>
      <c r="D23" s="138"/>
      <c r="E23" s="138"/>
      <c r="F23" s="138"/>
      <c r="G23" s="138"/>
    </row>
    <row r="24" spans="2:7" x14ac:dyDescent="0.25">
      <c r="B24" s="1" t="s">
        <v>329</v>
      </c>
      <c r="C24" s="1">
        <v>1</v>
      </c>
      <c r="D24" s="7">
        <v>2500000</v>
      </c>
      <c r="E24" s="7">
        <f>D24*C24</f>
        <v>2500000</v>
      </c>
      <c r="F24" s="7">
        <v>2500000</v>
      </c>
      <c r="G24" s="7">
        <v>0</v>
      </c>
    </row>
    <row r="25" spans="2:7" x14ac:dyDescent="0.25">
      <c r="B25" s="1" t="s">
        <v>348</v>
      </c>
      <c r="C25" s="1">
        <v>3</v>
      </c>
      <c r="D25" s="7">
        <v>2000000</v>
      </c>
      <c r="E25" s="7">
        <f>D25*C25</f>
        <v>6000000</v>
      </c>
      <c r="F25" s="7">
        <v>6000000</v>
      </c>
      <c r="G25" s="7">
        <v>0</v>
      </c>
    </row>
    <row r="26" spans="2:7" x14ac:dyDescent="0.25">
      <c r="B26" s="1" t="s">
        <v>77</v>
      </c>
      <c r="C26" s="1">
        <v>1</v>
      </c>
      <c r="D26" s="7">
        <v>450000</v>
      </c>
      <c r="E26" s="7">
        <f t="shared" ref="E26:E33" si="1">D26*C26</f>
        <v>450000</v>
      </c>
      <c r="F26" s="7">
        <v>0</v>
      </c>
      <c r="G26" s="7">
        <v>450000</v>
      </c>
    </row>
    <row r="27" spans="2:7" x14ac:dyDescent="0.25">
      <c r="B27" s="1" t="s">
        <v>330</v>
      </c>
      <c r="C27" s="1">
        <v>1</v>
      </c>
      <c r="D27" s="7">
        <v>80000</v>
      </c>
      <c r="E27" s="7">
        <f t="shared" si="1"/>
        <v>80000</v>
      </c>
      <c r="F27" s="7">
        <v>0</v>
      </c>
      <c r="G27" s="7">
        <v>80000</v>
      </c>
    </row>
    <row r="28" spans="2:7" x14ac:dyDescent="0.25">
      <c r="B28" s="1"/>
      <c r="C28" s="1"/>
      <c r="D28" s="7">
        <v>0</v>
      </c>
      <c r="E28" s="7">
        <v>0</v>
      </c>
      <c r="F28" s="7">
        <v>0</v>
      </c>
      <c r="G28" s="7">
        <v>0</v>
      </c>
    </row>
    <row r="29" spans="2:7" x14ac:dyDescent="0.25">
      <c r="B29" s="1"/>
      <c r="C29" s="1"/>
      <c r="D29" s="7">
        <v>0</v>
      </c>
      <c r="E29" s="7">
        <v>0</v>
      </c>
      <c r="F29" s="7">
        <v>0</v>
      </c>
      <c r="G29" s="7">
        <v>0</v>
      </c>
    </row>
    <row r="30" spans="2:7" x14ac:dyDescent="0.25">
      <c r="B30" s="1"/>
      <c r="C30" s="1"/>
      <c r="D30" s="7">
        <v>0</v>
      </c>
      <c r="E30" s="7">
        <f t="shared" si="1"/>
        <v>0</v>
      </c>
      <c r="F30" s="7">
        <v>0</v>
      </c>
      <c r="G30" s="7">
        <v>0</v>
      </c>
    </row>
    <row r="31" spans="2:7" x14ac:dyDescent="0.25">
      <c r="B31" s="1"/>
      <c r="C31" s="1"/>
      <c r="D31" s="7">
        <v>0</v>
      </c>
      <c r="E31" s="7">
        <f t="shared" si="1"/>
        <v>0</v>
      </c>
      <c r="F31" s="7">
        <v>0</v>
      </c>
      <c r="G31" s="7">
        <v>0</v>
      </c>
    </row>
    <row r="32" spans="2:7" x14ac:dyDescent="0.25">
      <c r="B32" s="1"/>
      <c r="C32" s="1"/>
      <c r="D32" s="7">
        <v>0</v>
      </c>
      <c r="E32" s="7">
        <f t="shared" si="1"/>
        <v>0</v>
      </c>
      <c r="F32" s="7">
        <v>0</v>
      </c>
      <c r="G32" s="7">
        <v>0</v>
      </c>
    </row>
    <row r="33" spans="2:7" x14ac:dyDescent="0.25">
      <c r="B33" s="1"/>
      <c r="C33" s="1"/>
      <c r="D33" s="7">
        <v>0</v>
      </c>
      <c r="E33" s="7">
        <f t="shared" si="1"/>
        <v>0</v>
      </c>
      <c r="F33" s="7">
        <v>0</v>
      </c>
      <c r="G33" s="7">
        <v>0</v>
      </c>
    </row>
    <row r="34" spans="2:7" x14ac:dyDescent="0.25">
      <c r="B34" s="25" t="s">
        <v>74</v>
      </c>
      <c r="C34" s="25"/>
      <c r="D34" s="25"/>
      <c r="E34" s="16">
        <f>SUM(E24:E33)</f>
        <v>9030000</v>
      </c>
      <c r="F34" s="16">
        <f>SUM(F24:F33)</f>
        <v>8500000</v>
      </c>
      <c r="G34" s="16">
        <f>SUM(G24:G33)</f>
        <v>530000</v>
      </c>
    </row>
    <row r="35" spans="2:7" x14ac:dyDescent="0.25">
      <c r="B35" s="25" t="s">
        <v>78</v>
      </c>
      <c r="C35" s="25"/>
      <c r="D35" s="25"/>
      <c r="E35" s="16">
        <f>SUM(E34+E22+E11)</f>
        <v>10080000</v>
      </c>
      <c r="F35" s="16">
        <f>SUM(F34+F22+F11)</f>
        <v>9000000</v>
      </c>
      <c r="G35" s="16">
        <f>SUM(G34+G22+G11)</f>
        <v>980000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9" operator="greaterThan">
      <formula>0</formula>
    </cfRule>
  </conditionalFormatting>
  <conditionalFormatting sqref="G9:G10">
    <cfRule type="cellIs" dxfId="10" priority="18" operator="greaterThan">
      <formula>0</formula>
    </cfRule>
  </conditionalFormatting>
  <conditionalFormatting sqref="F13:F14 F22">
    <cfRule type="cellIs" dxfId="9" priority="13" operator="greaterThan">
      <formula>0</formula>
    </cfRule>
  </conditionalFormatting>
  <conditionalFormatting sqref="G13:G14 G22">
    <cfRule type="cellIs" dxfId="8" priority="12" operator="greaterThan">
      <formula>0</formula>
    </cfRule>
  </conditionalFormatting>
  <conditionalFormatting sqref="F11">
    <cfRule type="cellIs" dxfId="7" priority="9" operator="greaterThan">
      <formula>0</formula>
    </cfRule>
  </conditionalFormatting>
  <conditionalFormatting sqref="G11">
    <cfRule type="cellIs" dxfId="6" priority="8" operator="greaterThan">
      <formula>0</formula>
    </cfRule>
  </conditionalFormatting>
  <conditionalFormatting sqref="F24:F34">
    <cfRule type="cellIs" dxfId="5" priority="7" operator="greaterThan">
      <formula>0</formula>
    </cfRule>
  </conditionalFormatting>
  <conditionalFormatting sqref="F35">
    <cfRule type="cellIs" dxfId="4" priority="5" operator="greaterThan">
      <formula>0</formula>
    </cfRule>
  </conditionalFormatting>
  <conditionalFormatting sqref="G35">
    <cfRule type="cellIs" dxfId="3" priority="4" operator="greaterThan">
      <formula>0</formula>
    </cfRule>
  </conditionalFormatting>
  <conditionalFormatting sqref="G34">
    <cfRule type="cellIs" dxfId="2" priority="3" operator="greaterThan">
      <formula>0</formula>
    </cfRule>
  </conditionalFormatting>
  <conditionalFormatting sqref="G24:G33">
    <cfRule type="cellIs" dxfId="1" priority="2" operator="greaterThan">
      <formula>0</formula>
    </cfRule>
  </conditionalFormatting>
  <conditionalFormatting sqref="F15:F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15"/>
  <sheetViews>
    <sheetView topLeftCell="C4" zoomScale="184" zoomScaleNormal="184" workbookViewId="0">
      <selection activeCell="H14" sqref="H14"/>
    </sheetView>
  </sheetViews>
  <sheetFormatPr baseColWidth="10" defaultRowHeight="15" x14ac:dyDescent="0.25"/>
  <cols>
    <col min="4" max="4" width="26.140625" bestFit="1" customWidth="1"/>
    <col min="5" max="5" width="16.28515625" bestFit="1" customWidth="1"/>
    <col min="7" max="7" width="16.7109375" customWidth="1"/>
    <col min="8" max="8" width="17.42578125" bestFit="1" customWidth="1"/>
  </cols>
  <sheetData>
    <row r="9" spans="4:8" x14ac:dyDescent="0.25">
      <c r="D9" s="128" t="s">
        <v>99</v>
      </c>
      <c r="E9" s="128"/>
      <c r="G9" s="128" t="s">
        <v>98</v>
      </c>
      <c r="H9" s="128"/>
    </row>
    <row r="10" spans="4:8" x14ac:dyDescent="0.25">
      <c r="D10" s="128" t="s">
        <v>91</v>
      </c>
      <c r="E10" s="128"/>
      <c r="G10" s="1" t="s">
        <v>96</v>
      </c>
      <c r="H10" s="9">
        <f>E11*12</f>
        <v>118184640</v>
      </c>
    </row>
    <row r="11" spans="4:8" x14ac:dyDescent="0.25">
      <c r="D11" s="1" t="s">
        <v>88</v>
      </c>
      <c r="E11" s="9">
        <f>Nomina!I30</f>
        <v>9848720</v>
      </c>
      <c r="G11" s="1" t="s">
        <v>97</v>
      </c>
      <c r="H11" s="9">
        <f>E13*12</f>
        <v>10248000</v>
      </c>
    </row>
    <row r="12" spans="4:8" x14ac:dyDescent="0.25">
      <c r="D12" s="1" t="s">
        <v>89</v>
      </c>
      <c r="E12" s="9">
        <f>'Materia Prima'!$G$19</f>
        <v>15000</v>
      </c>
      <c r="G12" s="1" t="s">
        <v>89</v>
      </c>
      <c r="H12" s="9">
        <f>E12</f>
        <v>15000</v>
      </c>
    </row>
    <row r="13" spans="4:8" x14ac:dyDescent="0.25">
      <c r="D13" s="1" t="s">
        <v>90</v>
      </c>
      <c r="E13" s="9">
        <f>'Costos de Administracion'!D16</f>
        <v>854000</v>
      </c>
      <c r="G13" s="1" t="s">
        <v>92</v>
      </c>
      <c r="H13" s="9">
        <f>E14</f>
        <v>10080000</v>
      </c>
    </row>
    <row r="14" spans="4:8" x14ac:dyDescent="0.25">
      <c r="D14" s="1" t="s">
        <v>92</v>
      </c>
      <c r="E14" s="9">
        <f>'Plan de Inversion'!E35</f>
        <v>10080000</v>
      </c>
      <c r="G14" s="27" t="s">
        <v>59</v>
      </c>
      <c r="H14" s="29">
        <f>SUM(H10:H13)</f>
        <v>138527640</v>
      </c>
    </row>
    <row r="15" spans="4:8" x14ac:dyDescent="0.25">
      <c r="D15" s="27" t="s">
        <v>93</v>
      </c>
      <c r="E15" s="29">
        <f>SUM(E11:E14)</f>
        <v>20797720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92"/>
  <sheetViews>
    <sheetView topLeftCell="B70" zoomScaleNormal="100" workbookViewId="0">
      <selection activeCell="D81" sqref="D81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152</v>
      </c>
      <c r="C2" s="32" t="str">
        <f>'Materia Prima'!D5</f>
        <v>logortec</v>
      </c>
    </row>
    <row r="4" spans="2:12" x14ac:dyDescent="0.25">
      <c r="B4" s="130" t="s">
        <v>100</v>
      </c>
      <c r="C4" s="130"/>
      <c r="D4" s="130"/>
      <c r="E4" s="130"/>
      <c r="F4" s="130"/>
      <c r="G4" s="130"/>
      <c r="I4" s="1" t="s">
        <v>101</v>
      </c>
      <c r="J4" s="33">
        <f>'Estado Financieros'!C10</f>
        <v>592713355.86747277</v>
      </c>
    </row>
    <row r="5" spans="2:12" x14ac:dyDescent="0.25">
      <c r="B5" s="34" t="s">
        <v>49</v>
      </c>
      <c r="C5" s="34" t="s">
        <v>102</v>
      </c>
      <c r="D5" s="34" t="s">
        <v>103</v>
      </c>
      <c r="E5" s="34" t="s">
        <v>104</v>
      </c>
      <c r="F5" s="34" t="s">
        <v>105</v>
      </c>
      <c r="G5" s="34" t="s">
        <v>106</v>
      </c>
      <c r="I5" s="1" t="s">
        <v>107</v>
      </c>
      <c r="J5" s="33">
        <f>'Estado Financieros'!C11</f>
        <v>0.13574283497794912</v>
      </c>
    </row>
    <row r="6" spans="2:12" x14ac:dyDescent="0.25">
      <c r="B6" s="36" t="str">
        <f>C2</f>
        <v>logortec</v>
      </c>
      <c r="C6" s="37">
        <v>450000</v>
      </c>
      <c r="D6" s="36">
        <v>1</v>
      </c>
      <c r="E6" s="37">
        <v>100</v>
      </c>
      <c r="F6" s="38">
        <f>E6/(C6*D6)</f>
        <v>2.2222222222222223E-4</v>
      </c>
      <c r="G6" s="39">
        <f>E6/12</f>
        <v>8.3333333333333339</v>
      </c>
      <c r="I6" s="1" t="s">
        <v>108</v>
      </c>
      <c r="J6" s="33">
        <f>'Estado Financieros'!C12</f>
        <v>40582327.455919415</v>
      </c>
      <c r="L6" s="120"/>
    </row>
    <row r="7" spans="2:12" x14ac:dyDescent="0.25">
      <c r="B7" s="41"/>
      <c r="C7" s="40"/>
      <c r="D7" s="1"/>
      <c r="E7" s="40"/>
      <c r="F7" s="38"/>
      <c r="G7" s="39"/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109</v>
      </c>
      <c r="C12" s="43">
        <f>SUM(C6:C9)</f>
        <v>450000</v>
      </c>
      <c r="D12" s="31">
        <v>1</v>
      </c>
      <c r="E12" s="43">
        <f>SUM(E6:E11)</f>
        <v>100</v>
      </c>
      <c r="F12" s="44">
        <f t="shared" ref="F12" si="0">E12/(C12*D12)</f>
        <v>2.2222222222222223E-4</v>
      </c>
      <c r="G12" s="43">
        <f>SUM(G6:G11)</f>
        <v>8.3333333333333339</v>
      </c>
    </row>
    <row r="13" spans="2:12" x14ac:dyDescent="0.25">
      <c r="J13" t="s">
        <v>324</v>
      </c>
    </row>
    <row r="15" spans="2:12" x14ac:dyDescent="0.25">
      <c r="I15" t="s">
        <v>322</v>
      </c>
      <c r="J15" s="71">
        <v>9000000</v>
      </c>
      <c r="K15" s="113" t="s">
        <v>325</v>
      </c>
      <c r="L15" s="115" t="s">
        <v>326</v>
      </c>
    </row>
    <row r="16" spans="2:12" x14ac:dyDescent="0.25">
      <c r="I16" t="s">
        <v>102</v>
      </c>
      <c r="J16" s="71">
        <v>4500000</v>
      </c>
      <c r="K16" s="114" t="s">
        <v>325</v>
      </c>
      <c r="L16" t="s">
        <v>327</v>
      </c>
    </row>
    <row r="17" spans="2:13" x14ac:dyDescent="0.25">
      <c r="I17" t="s">
        <v>323</v>
      </c>
      <c r="J17" s="71">
        <v>450000</v>
      </c>
      <c r="K17" s="113" t="s">
        <v>325</v>
      </c>
      <c r="L17" t="s">
        <v>328</v>
      </c>
      <c r="M17" t="s">
        <v>327</v>
      </c>
    </row>
    <row r="31" spans="2:13" x14ac:dyDescent="0.25">
      <c r="B31" s="130" t="s">
        <v>110</v>
      </c>
      <c r="C31" s="130"/>
      <c r="D31" s="130"/>
      <c r="E31" s="130"/>
      <c r="F31" s="130"/>
      <c r="G31" s="130"/>
      <c r="H31" s="130"/>
    </row>
    <row r="32" spans="2:13" x14ac:dyDescent="0.25">
      <c r="B32" s="31" t="s">
        <v>49</v>
      </c>
      <c r="C32" s="45" t="s">
        <v>111</v>
      </c>
      <c r="D32" s="45" t="s">
        <v>112</v>
      </c>
      <c r="E32" s="31" t="s">
        <v>113</v>
      </c>
      <c r="F32" s="45" t="s">
        <v>114</v>
      </c>
      <c r="G32" s="45" t="s">
        <v>115</v>
      </c>
      <c r="H32" s="45" t="s">
        <v>116</v>
      </c>
    </row>
    <row r="33" spans="2:8" x14ac:dyDescent="0.25">
      <c r="B33" s="46" t="str">
        <f>B6</f>
        <v>logortec</v>
      </c>
      <c r="C33" s="47">
        <v>1900</v>
      </c>
      <c r="D33" s="48">
        <f>(0.99*C50)/C33</f>
        <v>5.2105263157894738E-2</v>
      </c>
      <c r="E33" s="49">
        <f>(C33*D33)</f>
        <v>99</v>
      </c>
      <c r="F33" s="50">
        <v>1</v>
      </c>
      <c r="G33" s="51">
        <f>E33*F33</f>
        <v>99</v>
      </c>
      <c r="H33" s="51">
        <f>E6</f>
        <v>100</v>
      </c>
    </row>
    <row r="34" spans="2:8" x14ac:dyDescent="0.25">
      <c r="B34" s="46"/>
      <c r="C34" s="40"/>
      <c r="D34" s="48"/>
      <c r="E34" s="49"/>
      <c r="F34" s="50"/>
      <c r="G34" s="51"/>
      <c r="H34" s="51"/>
    </row>
    <row r="35" spans="2:8" x14ac:dyDescent="0.25">
      <c r="B35" s="46"/>
      <c r="C35" s="40"/>
      <c r="D35" s="48"/>
      <c r="E35" s="49"/>
      <c r="F35" s="50"/>
      <c r="G35" s="51"/>
      <c r="H35" s="51"/>
    </row>
    <row r="36" spans="2:8" x14ac:dyDescent="0.25">
      <c r="B36" s="46"/>
      <c r="C36" s="40"/>
      <c r="D36" s="48"/>
      <c r="E36" s="49"/>
      <c r="F36" s="50"/>
      <c r="G36" s="51"/>
      <c r="H36" s="51"/>
    </row>
    <row r="37" spans="2:8" x14ac:dyDescent="0.25">
      <c r="B37" s="46"/>
      <c r="C37" s="1"/>
      <c r="D37" s="51"/>
      <c r="E37" s="48"/>
      <c r="F37" s="52"/>
      <c r="G37" s="51"/>
      <c r="H37" s="51"/>
    </row>
    <row r="38" spans="2:8" x14ac:dyDescent="0.25">
      <c r="B38" s="46"/>
      <c r="C38" s="1"/>
      <c r="D38" s="51"/>
      <c r="E38" s="48"/>
      <c r="F38" s="52"/>
      <c r="G38" s="51"/>
      <c r="H38" s="51"/>
    </row>
    <row r="39" spans="2:8" x14ac:dyDescent="0.25">
      <c r="B39" s="31" t="str">
        <f>B12</f>
        <v>Totales</v>
      </c>
      <c r="C39" s="31"/>
      <c r="D39" s="31"/>
      <c r="E39" s="53">
        <f>SUM(E33:E38)</f>
        <v>99</v>
      </c>
      <c r="F39" s="53"/>
      <c r="G39" s="43">
        <f>SUM(G33:G38)</f>
        <v>99</v>
      </c>
      <c r="H39" s="43">
        <f>SUM(H33:H38)</f>
        <v>100</v>
      </c>
    </row>
    <row r="48" spans="2:8" x14ac:dyDescent="0.25">
      <c r="B48" s="130" t="s">
        <v>117</v>
      </c>
      <c r="C48" s="130"/>
      <c r="D48" s="130"/>
      <c r="E48" s="130"/>
    </row>
    <row r="49" spans="2:5" x14ac:dyDescent="0.25">
      <c r="B49" s="31" t="s">
        <v>49</v>
      </c>
      <c r="C49" s="45" t="s">
        <v>118</v>
      </c>
      <c r="D49" s="45" t="s">
        <v>119</v>
      </c>
      <c r="E49" s="45" t="s">
        <v>120</v>
      </c>
    </row>
    <row r="50" spans="2:5" x14ac:dyDescent="0.25">
      <c r="B50" s="46" t="str">
        <f>B6</f>
        <v>logortec</v>
      </c>
      <c r="C50" s="51">
        <f>E6</f>
        <v>100</v>
      </c>
      <c r="D50" s="37">
        <v>2000000</v>
      </c>
      <c r="E50" s="51">
        <f>(C50*D50)</f>
        <v>200000000</v>
      </c>
    </row>
    <row r="51" spans="2:5" x14ac:dyDescent="0.25">
      <c r="B51" s="46"/>
      <c r="C51" s="51"/>
      <c r="D51" s="54"/>
      <c r="E51" s="51"/>
    </row>
    <row r="52" spans="2:5" x14ac:dyDescent="0.25">
      <c r="B52" s="46"/>
      <c r="C52" s="51"/>
      <c r="D52" s="54"/>
      <c r="E52" s="51"/>
    </row>
    <row r="53" spans="2:5" x14ac:dyDescent="0.25">
      <c r="B53" s="46"/>
      <c r="C53" s="51"/>
      <c r="D53" s="54"/>
      <c r="E53" s="51"/>
    </row>
    <row r="54" spans="2:5" x14ac:dyDescent="0.25">
      <c r="B54" s="46"/>
      <c r="C54" s="46"/>
      <c r="D54" s="40"/>
      <c r="E54" s="51"/>
    </row>
    <row r="55" spans="2:5" x14ac:dyDescent="0.25">
      <c r="B55" s="46"/>
      <c r="C55" s="46"/>
      <c r="D55" s="40"/>
      <c r="E55" s="51"/>
    </row>
    <row r="56" spans="2:5" x14ac:dyDescent="0.25">
      <c r="B56" s="31" t="s">
        <v>109</v>
      </c>
      <c r="C56" s="43">
        <f>SUM(C50:C55)</f>
        <v>100</v>
      </c>
      <c r="D56" s="43">
        <f>SUM(D50:D55)</f>
        <v>2000000</v>
      </c>
      <c r="E56" s="43">
        <f>SUM(E50:E55)</f>
        <v>200000000</v>
      </c>
    </row>
    <row r="60" spans="2:5" x14ac:dyDescent="0.25">
      <c r="B60" s="31" t="s">
        <v>121</v>
      </c>
      <c r="C60" s="34" t="s">
        <v>122</v>
      </c>
      <c r="D60" s="34" t="s">
        <v>123</v>
      </c>
    </row>
    <row r="61" spans="2:5" x14ac:dyDescent="0.25">
      <c r="B61" s="55" t="s">
        <v>124</v>
      </c>
      <c r="C61" s="56">
        <v>0.02</v>
      </c>
      <c r="D61" s="57">
        <f>C61+1</f>
        <v>1.02</v>
      </c>
    </row>
    <row r="62" spans="2:5" x14ac:dyDescent="0.25">
      <c r="B62" s="55" t="s">
        <v>125</v>
      </c>
      <c r="C62" s="56">
        <v>0.03</v>
      </c>
      <c r="D62" s="57">
        <f>C62+1</f>
        <v>1.03</v>
      </c>
    </row>
    <row r="63" spans="2:5" x14ac:dyDescent="0.25">
      <c r="B63" s="55" t="s">
        <v>126</v>
      </c>
      <c r="C63" s="58">
        <v>0.04</v>
      </c>
      <c r="D63" s="57">
        <f>C63+1</f>
        <v>1.04</v>
      </c>
    </row>
    <row r="64" spans="2:5" x14ac:dyDescent="0.25">
      <c r="B64" s="55" t="s">
        <v>127</v>
      </c>
      <c r="C64" s="56">
        <v>0.04</v>
      </c>
      <c r="D64" s="57">
        <f>C64+1</f>
        <v>1.04</v>
      </c>
    </row>
    <row r="65" spans="2:5" x14ac:dyDescent="0.25">
      <c r="B65" s="59"/>
      <c r="C65" s="59" t="s">
        <v>128</v>
      </c>
      <c r="D65" s="59"/>
    </row>
    <row r="70" spans="2:5" x14ac:dyDescent="0.25">
      <c r="B70" s="130" t="s">
        <v>129</v>
      </c>
      <c r="C70" s="130"/>
    </row>
    <row r="72" spans="2:5" x14ac:dyDescent="0.25">
      <c r="B72" s="31" t="s">
        <v>130</v>
      </c>
      <c r="C72" s="31" t="s">
        <v>131</v>
      </c>
    </row>
    <row r="73" spans="2:5" x14ac:dyDescent="0.25">
      <c r="B73" s="55" t="s">
        <v>132</v>
      </c>
      <c r="C73" s="46">
        <v>9</v>
      </c>
    </row>
    <row r="74" spans="2:5" x14ac:dyDescent="0.25">
      <c r="B74" s="55" t="s">
        <v>133</v>
      </c>
      <c r="C74" s="46">
        <v>7</v>
      </c>
    </row>
    <row r="75" spans="2:5" x14ac:dyDescent="0.25">
      <c r="B75" s="55" t="s">
        <v>134</v>
      </c>
      <c r="C75" s="46">
        <v>5</v>
      </c>
    </row>
    <row r="76" spans="2:5" x14ac:dyDescent="0.25">
      <c r="B76" s="55" t="s">
        <v>135</v>
      </c>
      <c r="C76" s="46">
        <v>3</v>
      </c>
    </row>
    <row r="78" spans="2:5" x14ac:dyDescent="0.25">
      <c r="B78" s="139" t="s">
        <v>136</v>
      </c>
      <c r="C78" s="139"/>
      <c r="D78" s="34" t="s">
        <v>137</v>
      </c>
      <c r="E78" s="34" t="s">
        <v>137</v>
      </c>
    </row>
    <row r="79" spans="2:5" x14ac:dyDescent="0.25">
      <c r="B79" s="139"/>
      <c r="C79" s="139"/>
      <c r="D79" s="34" t="s">
        <v>138</v>
      </c>
      <c r="E79" s="34" t="s">
        <v>139</v>
      </c>
    </row>
    <row r="80" spans="2:5" x14ac:dyDescent="0.25">
      <c r="B80" s="55" t="s">
        <v>140</v>
      </c>
      <c r="C80" s="60">
        <v>5</v>
      </c>
      <c r="D80" s="49">
        <f>IF(C92&gt;0,(C80/C92)*C56,)</f>
        <v>8.3333333333333321</v>
      </c>
      <c r="E80" s="51">
        <f>IF(D92&gt;0,(E56*D80)/D92)</f>
        <v>16666666.666666672</v>
      </c>
    </row>
    <row r="81" spans="2:5" x14ac:dyDescent="0.25">
      <c r="B81" s="55" t="s">
        <v>141</v>
      </c>
      <c r="C81" s="60">
        <v>5</v>
      </c>
      <c r="D81" s="49">
        <f>IF(C92&gt;0,(C81/C92)*C56,)</f>
        <v>8.3333333333333321</v>
      </c>
      <c r="E81" s="51">
        <f>IF(D92&gt;0,(E56*D81)/D92)</f>
        <v>16666666.666666672</v>
      </c>
    </row>
    <row r="82" spans="2:5" x14ac:dyDescent="0.25">
      <c r="B82" s="55" t="s">
        <v>142</v>
      </c>
      <c r="C82" s="60">
        <v>5</v>
      </c>
      <c r="D82" s="49">
        <f>IF(C92&gt;0,(C82/C92)*C56,)</f>
        <v>8.3333333333333321</v>
      </c>
      <c r="E82" s="51">
        <f>IF(D92&gt;0,(E56*D82)/D92)</f>
        <v>16666666.666666672</v>
      </c>
    </row>
    <row r="83" spans="2:5" x14ac:dyDescent="0.25">
      <c r="B83" s="55" t="s">
        <v>143</v>
      </c>
      <c r="C83" s="60">
        <v>5</v>
      </c>
      <c r="D83" s="49">
        <f>IF(C92&gt;0,(C83/C92)*C56,)</f>
        <v>8.3333333333333321</v>
      </c>
      <c r="E83" s="51">
        <f>IF(D92&gt;0,(E56*D83)/D92)</f>
        <v>16666666.666666672</v>
      </c>
    </row>
    <row r="84" spans="2:5" x14ac:dyDescent="0.25">
      <c r="B84" s="55" t="s">
        <v>144</v>
      </c>
      <c r="C84" s="60">
        <v>5</v>
      </c>
      <c r="D84" s="49">
        <f>IF(C92&gt;0,(C84/C92)*C56,)</f>
        <v>8.3333333333333321</v>
      </c>
      <c r="E84" s="51">
        <f>IF(D92&gt;0,(E56*D84)/D92)</f>
        <v>16666666.666666672</v>
      </c>
    </row>
    <row r="85" spans="2:5" x14ac:dyDescent="0.25">
      <c r="B85" s="61" t="s">
        <v>145</v>
      </c>
      <c r="C85" s="62">
        <v>5</v>
      </c>
      <c r="D85" s="49">
        <f>IF(C92&gt;0,(C85/C92)*C56,)</f>
        <v>8.3333333333333321</v>
      </c>
      <c r="E85" s="51">
        <f>IF(D92&gt;0,(E56*D85)/D92)</f>
        <v>16666666.666666672</v>
      </c>
    </row>
    <row r="86" spans="2:5" x14ac:dyDescent="0.25">
      <c r="B86" s="55" t="s">
        <v>146</v>
      </c>
      <c r="C86" s="60">
        <v>5</v>
      </c>
      <c r="D86" s="49">
        <f>IF(C92&gt;0,(C86/C92)*C56,)</f>
        <v>8.3333333333333321</v>
      </c>
      <c r="E86" s="51">
        <f>IF(D92&gt;0,(E56*D86)/D92)</f>
        <v>16666666.666666672</v>
      </c>
    </row>
    <row r="87" spans="2:5" x14ac:dyDescent="0.25">
      <c r="B87" s="55" t="s">
        <v>147</v>
      </c>
      <c r="C87" s="60">
        <v>5</v>
      </c>
      <c r="D87" s="49">
        <f>IF(C92&gt;0,(C87/C92)*C56,)</f>
        <v>8.3333333333333321</v>
      </c>
      <c r="E87" s="51">
        <f>IF(D92&gt;0,(E56*D87)/D92)</f>
        <v>16666666.666666672</v>
      </c>
    </row>
    <row r="88" spans="2:5" x14ac:dyDescent="0.25">
      <c r="B88" s="55" t="s">
        <v>148</v>
      </c>
      <c r="C88" s="60">
        <v>5</v>
      </c>
      <c r="D88" s="49">
        <f>IF(C92&gt;0,(C88/C92)*C56,)</f>
        <v>8.3333333333333321</v>
      </c>
      <c r="E88" s="51">
        <f>IF(D92&gt;0,(E56*D88)/D92)</f>
        <v>16666666.666666672</v>
      </c>
    </row>
    <row r="89" spans="2:5" x14ac:dyDescent="0.25">
      <c r="B89" s="55" t="s">
        <v>149</v>
      </c>
      <c r="C89" s="60">
        <v>5</v>
      </c>
      <c r="D89" s="49">
        <f>IF(C92&gt;0,(C89/C92)*C56,)</f>
        <v>8.3333333333333321</v>
      </c>
      <c r="E89" s="51">
        <f>IF(D92&gt;0,(E56*D89)/D92)</f>
        <v>16666666.666666672</v>
      </c>
    </row>
    <row r="90" spans="2:5" x14ac:dyDescent="0.25">
      <c r="B90" s="55" t="s">
        <v>150</v>
      </c>
      <c r="C90" s="60">
        <v>5</v>
      </c>
      <c r="D90" s="49">
        <f>IF(C92&gt;0,(C90/C92)*C56,)</f>
        <v>8.3333333333333321</v>
      </c>
      <c r="E90" s="51">
        <f>IF(D92&gt;0,(E56*D90)/D92)</f>
        <v>16666666.666666672</v>
      </c>
    </row>
    <row r="91" spans="2:5" x14ac:dyDescent="0.25">
      <c r="B91" s="55" t="s">
        <v>151</v>
      </c>
      <c r="C91" s="60">
        <v>5</v>
      </c>
      <c r="D91" s="49">
        <f>IF(C92&gt;0,(C91/C92)*C56,)</f>
        <v>8.3333333333333321</v>
      </c>
      <c r="E91" s="51">
        <f>IF(D92&gt;0,(E56*D91)/D92)</f>
        <v>16666666.666666672</v>
      </c>
    </row>
    <row r="92" spans="2:5" x14ac:dyDescent="0.25">
      <c r="B92" s="31" t="s">
        <v>59</v>
      </c>
      <c r="C92" s="31">
        <f>SUM(C80:C91)</f>
        <v>60</v>
      </c>
      <c r="D92" s="53">
        <f>SUM(D80:D91)</f>
        <v>99.999999999999957</v>
      </c>
      <c r="E92" s="43">
        <f>SUM(E80:E91)</f>
        <v>200000000.00000012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Q47"/>
  <sheetViews>
    <sheetView topLeftCell="C40" zoomScale="87" zoomScaleNormal="87" workbookViewId="0">
      <selection activeCell="C78" sqref="C78"/>
    </sheetView>
  </sheetViews>
  <sheetFormatPr baseColWidth="10" defaultRowHeight="15" x14ac:dyDescent="0.25"/>
  <cols>
    <col min="2" max="2" width="30.5703125" bestFit="1" customWidth="1"/>
    <col min="3" max="3" width="14.140625" bestFit="1" customWidth="1"/>
    <col min="4" max="4" width="18.7109375" customWidth="1"/>
    <col min="5" max="5" width="20" customWidth="1"/>
    <col min="6" max="6" width="22.7109375" customWidth="1"/>
    <col min="7" max="8" width="18.140625" bestFit="1" customWidth="1"/>
    <col min="9" max="9" width="14.28515625" bestFit="1" customWidth="1"/>
    <col min="10" max="11" width="18.140625" bestFit="1" customWidth="1"/>
    <col min="12" max="12" width="14.28515625" bestFit="1" customWidth="1"/>
    <col min="13" max="14" width="22.28515625" bestFit="1" customWidth="1"/>
    <col min="15" max="15" width="14.28515625" bestFit="1" customWidth="1"/>
    <col min="16" max="17" width="18.140625" bestFit="1" customWidth="1"/>
  </cols>
  <sheetData>
    <row r="3" spans="2:17" x14ac:dyDescent="0.25">
      <c r="B3" s="130" t="s">
        <v>166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5" spans="2:17" x14ac:dyDescent="0.25">
      <c r="B5" s="139" t="s">
        <v>49</v>
      </c>
      <c r="C5" s="130" t="s">
        <v>137</v>
      </c>
      <c r="D5" s="130"/>
      <c r="E5" s="130"/>
      <c r="F5" s="130" t="s">
        <v>124</v>
      </c>
      <c r="G5" s="130"/>
      <c r="H5" s="130"/>
      <c r="I5" s="130" t="s">
        <v>125</v>
      </c>
      <c r="J5" s="130"/>
      <c r="K5" s="130"/>
      <c r="L5" s="130" t="s">
        <v>126</v>
      </c>
      <c r="M5" s="130"/>
      <c r="N5" s="130"/>
      <c r="O5" s="130" t="s">
        <v>127</v>
      </c>
      <c r="P5" s="130"/>
      <c r="Q5" s="130"/>
    </row>
    <row r="6" spans="2:17" x14ac:dyDescent="0.25">
      <c r="B6" s="139"/>
      <c r="C6" s="31" t="s">
        <v>167</v>
      </c>
      <c r="D6" s="31" t="s">
        <v>168</v>
      </c>
      <c r="E6" s="31" t="s">
        <v>169</v>
      </c>
      <c r="F6" s="31" t="s">
        <v>167</v>
      </c>
      <c r="G6" s="31" t="s">
        <v>168</v>
      </c>
      <c r="H6" s="31" t="s">
        <v>169</v>
      </c>
      <c r="I6" s="31" t="s">
        <v>167</v>
      </c>
      <c r="J6" s="31" t="s">
        <v>168</v>
      </c>
      <c r="K6" s="31" t="s">
        <v>169</v>
      </c>
      <c r="L6" s="31" t="s">
        <v>167</v>
      </c>
      <c r="M6" s="31" t="s">
        <v>168</v>
      </c>
      <c r="N6" s="31" t="s">
        <v>169</v>
      </c>
      <c r="O6" s="31" t="s">
        <v>167</v>
      </c>
      <c r="P6" s="31" t="s">
        <v>168</v>
      </c>
      <c r="Q6" s="31" t="s">
        <v>169</v>
      </c>
    </row>
    <row r="7" spans="2:17" x14ac:dyDescent="0.25">
      <c r="B7" s="31" t="str">
        <f>'Presupuesto de ventas'!B6</f>
        <v>logortec</v>
      </c>
      <c r="C7" s="51">
        <f>'Materia Prima'!D27</f>
        <v>100</v>
      </c>
      <c r="D7" s="65">
        <f>'Materia Prima'!F27</f>
        <v>1500000</v>
      </c>
      <c r="E7" s="65">
        <f>'Presupuesto de ventas'!E50</f>
        <v>200000000</v>
      </c>
      <c r="F7" s="51">
        <f>C7</f>
        <v>100</v>
      </c>
      <c r="G7" s="65">
        <f>D7*'Materia Prima'!E38</f>
        <v>1530000</v>
      </c>
      <c r="H7" s="65">
        <f>E7*'Presupuesto de ventas'!D61</f>
        <v>204000000</v>
      </c>
      <c r="I7" s="51">
        <f>C7</f>
        <v>100</v>
      </c>
      <c r="J7" s="65">
        <f>G7*'Materia Prima'!E39</f>
        <v>1560600</v>
      </c>
      <c r="K7" s="65">
        <f>H7*'Presupuesto de ventas'!D62</f>
        <v>210120000</v>
      </c>
      <c r="L7" s="51">
        <f>C7</f>
        <v>100</v>
      </c>
      <c r="M7" s="65">
        <f>J7*'Materia Prima'!E40</f>
        <v>1591812</v>
      </c>
      <c r="N7" s="65">
        <f>K7*'Presupuesto de ventas'!D63</f>
        <v>218524800</v>
      </c>
      <c r="O7" s="51">
        <f>C7</f>
        <v>100</v>
      </c>
      <c r="P7" s="65">
        <f>M7*'Materia Prima'!E41</f>
        <v>1623648.24</v>
      </c>
      <c r="Q7" s="65">
        <f>N7*'Presupuesto de ventas'!D64</f>
        <v>227265792</v>
      </c>
    </row>
    <row r="8" spans="2:17" x14ac:dyDescent="0.25">
      <c r="B8" s="31"/>
      <c r="C8" s="51"/>
      <c r="D8" s="65"/>
      <c r="E8" s="65"/>
      <c r="F8" s="51"/>
      <c r="G8" s="65"/>
      <c r="H8" s="65"/>
      <c r="I8" s="51"/>
      <c r="J8" s="65"/>
      <c r="K8" s="65"/>
      <c r="L8" s="51"/>
      <c r="M8" s="65"/>
      <c r="N8" s="65"/>
      <c r="O8" s="51"/>
      <c r="P8" s="65"/>
      <c r="Q8" s="65"/>
    </row>
    <row r="9" spans="2:17" x14ac:dyDescent="0.25">
      <c r="B9" s="31"/>
      <c r="C9" s="51"/>
      <c r="D9" s="65"/>
      <c r="E9" s="65"/>
      <c r="F9" s="51"/>
      <c r="G9" s="65"/>
      <c r="H9" s="65"/>
      <c r="I9" s="51"/>
      <c r="J9" s="65"/>
      <c r="K9" s="65"/>
      <c r="L9" s="51"/>
      <c r="M9" s="65"/>
      <c r="N9" s="65"/>
      <c r="O9" s="51"/>
      <c r="P9" s="65"/>
      <c r="Q9" s="65"/>
    </row>
    <row r="10" spans="2:17" x14ac:dyDescent="0.25">
      <c r="B10" s="31"/>
      <c r="C10" s="51"/>
      <c r="D10" s="65"/>
      <c r="E10" s="65"/>
      <c r="F10" s="51"/>
      <c r="G10" s="65"/>
      <c r="H10" s="65"/>
      <c r="I10" s="51"/>
      <c r="J10" s="65"/>
      <c r="K10" s="65"/>
      <c r="L10" s="51"/>
      <c r="M10" s="65"/>
      <c r="N10" s="65"/>
      <c r="O10" s="51"/>
      <c r="P10" s="65"/>
      <c r="Q10" s="65"/>
    </row>
    <row r="11" spans="2:17" x14ac:dyDescent="0.25">
      <c r="B11" s="31"/>
      <c r="C11" s="51"/>
      <c r="D11" s="65"/>
      <c r="E11" s="65"/>
      <c r="F11" s="51"/>
      <c r="G11" s="65"/>
      <c r="H11" s="65"/>
      <c r="I11" s="51"/>
      <c r="J11" s="65"/>
      <c r="K11" s="65"/>
      <c r="L11" s="51"/>
      <c r="M11" s="65"/>
      <c r="N11" s="65"/>
      <c r="O11" s="51"/>
      <c r="P11" s="65"/>
      <c r="Q11" s="65"/>
    </row>
    <row r="12" spans="2:17" x14ac:dyDescent="0.25">
      <c r="B12" s="31"/>
      <c r="C12" s="51"/>
      <c r="D12" s="65"/>
      <c r="E12" s="65"/>
      <c r="F12" s="51"/>
      <c r="G12" s="65"/>
      <c r="H12" s="65"/>
      <c r="I12" s="51"/>
      <c r="J12" s="65"/>
      <c r="K12" s="65"/>
      <c r="L12" s="51"/>
      <c r="M12" s="65"/>
      <c r="N12" s="65"/>
      <c r="O12" s="51"/>
      <c r="P12" s="65"/>
      <c r="Q12" s="65"/>
    </row>
    <row r="13" spans="2:17" x14ac:dyDescent="0.25">
      <c r="B13" s="31"/>
      <c r="C13" s="51"/>
      <c r="D13" s="65"/>
      <c r="E13" s="65"/>
      <c r="F13" s="51"/>
      <c r="G13" s="65"/>
      <c r="H13" s="65"/>
      <c r="I13" s="51"/>
      <c r="J13" s="65"/>
      <c r="K13" s="65"/>
      <c r="L13" s="51"/>
      <c r="M13" s="65"/>
      <c r="N13" s="65"/>
      <c r="O13" s="51"/>
      <c r="P13" s="65"/>
      <c r="Q13" s="65"/>
    </row>
    <row r="14" spans="2:17" x14ac:dyDescent="0.25">
      <c r="B14" s="31" t="s">
        <v>109</v>
      </c>
      <c r="C14" s="43">
        <f t="shared" ref="C14:Q14" si="0">SUM(C7:C13)</f>
        <v>100</v>
      </c>
      <c r="D14" s="66">
        <f t="shared" si="0"/>
        <v>1500000</v>
      </c>
      <c r="E14" s="66">
        <f t="shared" si="0"/>
        <v>200000000</v>
      </c>
      <c r="F14" s="43">
        <f t="shared" si="0"/>
        <v>100</v>
      </c>
      <c r="G14" s="66">
        <f t="shared" si="0"/>
        <v>1530000</v>
      </c>
      <c r="H14" s="66">
        <f>SUM(H7:H13)</f>
        <v>204000000</v>
      </c>
      <c r="I14" s="43">
        <f t="shared" si="0"/>
        <v>100</v>
      </c>
      <c r="J14" s="66">
        <f t="shared" si="0"/>
        <v>1560600</v>
      </c>
      <c r="K14" s="66">
        <f t="shared" si="0"/>
        <v>210120000</v>
      </c>
      <c r="L14" s="43">
        <f t="shared" si="0"/>
        <v>100</v>
      </c>
      <c r="M14" s="66">
        <f t="shared" si="0"/>
        <v>1591812</v>
      </c>
      <c r="N14" s="66">
        <f t="shared" si="0"/>
        <v>218524800</v>
      </c>
      <c r="O14" s="43">
        <f t="shared" si="0"/>
        <v>100</v>
      </c>
      <c r="P14" s="66">
        <f t="shared" si="0"/>
        <v>1623648.24</v>
      </c>
      <c r="Q14" s="66">
        <f t="shared" si="0"/>
        <v>227265792</v>
      </c>
    </row>
    <row r="31" spans="2:17" x14ac:dyDescent="0.25">
      <c r="B31" s="130" t="s">
        <v>170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</row>
    <row r="33" spans="1:17" x14ac:dyDescent="0.25">
      <c r="A33" s="67"/>
      <c r="B33" s="140" t="s">
        <v>161</v>
      </c>
      <c r="C33" s="130" t="s">
        <v>137</v>
      </c>
      <c r="D33" s="130"/>
      <c r="E33" s="130"/>
      <c r="F33" s="130" t="s">
        <v>124</v>
      </c>
      <c r="G33" s="130"/>
      <c r="H33" s="130"/>
      <c r="I33" s="130" t="s">
        <v>125</v>
      </c>
      <c r="J33" s="130"/>
      <c r="K33" s="130"/>
      <c r="L33" s="130" t="s">
        <v>126</v>
      </c>
      <c r="M33" s="130"/>
      <c r="N33" s="130"/>
      <c r="O33" s="130" t="s">
        <v>127</v>
      </c>
      <c r="P33" s="130"/>
      <c r="Q33" s="130"/>
    </row>
    <row r="34" spans="1:17" x14ac:dyDescent="0.25">
      <c r="A34" s="67"/>
      <c r="B34" s="140"/>
      <c r="C34" s="34" t="s">
        <v>171</v>
      </c>
      <c r="D34" s="34" t="s">
        <v>138</v>
      </c>
      <c r="E34" s="34" t="s">
        <v>172</v>
      </c>
      <c r="F34" s="34" t="s">
        <v>171</v>
      </c>
      <c r="G34" s="34" t="s">
        <v>138</v>
      </c>
      <c r="H34" s="34" t="s">
        <v>172</v>
      </c>
      <c r="I34" s="34" t="s">
        <v>171</v>
      </c>
      <c r="J34" s="34" t="s">
        <v>138</v>
      </c>
      <c r="K34" s="34" t="s">
        <v>172</v>
      </c>
      <c r="L34" s="34" t="s">
        <v>171</v>
      </c>
      <c r="M34" s="34" t="s">
        <v>138</v>
      </c>
      <c r="N34" s="34" t="s">
        <v>172</v>
      </c>
      <c r="O34" s="34" t="s">
        <v>171</v>
      </c>
      <c r="P34" s="34" t="s">
        <v>138</v>
      </c>
      <c r="Q34" s="34" t="s">
        <v>172</v>
      </c>
    </row>
    <row r="35" spans="1:17" x14ac:dyDescent="0.25">
      <c r="B35" s="69" t="s">
        <v>140</v>
      </c>
      <c r="C35" s="49">
        <f>'Presupuesto de ventas'!C80</f>
        <v>5</v>
      </c>
      <c r="D35" s="49">
        <f>'Presupuesto de ventas'!D80</f>
        <v>8.3333333333333321</v>
      </c>
      <c r="E35" s="65">
        <f>'Presupuesto de ventas'!E80</f>
        <v>16666666.666666672</v>
      </c>
      <c r="F35" s="46">
        <f>'Presupuesto de ventas'!C80</f>
        <v>5</v>
      </c>
      <c r="G35" s="49">
        <f>IF(F47&gt;0,(F35/F47)*F14,)</f>
        <v>8.3333333333333321</v>
      </c>
      <c r="H35" s="65">
        <f>IF(F14&gt;0,(H14*G35)/F14,)</f>
        <v>16999999.999999996</v>
      </c>
      <c r="I35" s="46">
        <f>'Presupuesto de ventas'!C80</f>
        <v>5</v>
      </c>
      <c r="J35" s="49">
        <f>IF(I47&gt;0,(I35/I47)*I14)</f>
        <v>8.3333333333333321</v>
      </c>
      <c r="K35" s="65">
        <f>IF(I14&gt;0,(K14*J35)/I14,)</f>
        <v>17509999.999999996</v>
      </c>
      <c r="L35" s="46">
        <f>'Presupuesto de ventas'!C80</f>
        <v>5</v>
      </c>
      <c r="M35" s="49">
        <f>IF(L47&gt;0,(L35/L47)*L14)</f>
        <v>8.3333333333333321</v>
      </c>
      <c r="N35" s="65">
        <f>IF(L14&gt;0,(N14*M35)/L14,)</f>
        <v>18210399.999999996</v>
      </c>
      <c r="O35" s="46">
        <f>'Presupuesto de ventas'!C80</f>
        <v>5</v>
      </c>
      <c r="P35" s="49">
        <f>IF(O47&gt;0,(O35/O47)*O14)</f>
        <v>8.3333333333333321</v>
      </c>
      <c r="Q35" s="65">
        <f>IF(O14&gt;0,(Q14*P35)/O14,)</f>
        <v>18938815.999999996</v>
      </c>
    </row>
    <row r="36" spans="1:17" x14ac:dyDescent="0.25">
      <c r="B36" s="69" t="s">
        <v>141</v>
      </c>
      <c r="C36" s="49">
        <f>'Presupuesto de ventas'!C81</f>
        <v>5</v>
      </c>
      <c r="D36" s="49">
        <f>'Presupuesto de ventas'!D81</f>
        <v>8.3333333333333321</v>
      </c>
      <c r="E36" s="65">
        <f>'Presupuesto de ventas'!E81</f>
        <v>16666666.666666672</v>
      </c>
      <c r="F36" s="46">
        <f>'Presupuesto de ventas'!C81</f>
        <v>5</v>
      </c>
      <c r="G36" s="49">
        <f>IF(F47&gt;0,(F36/F47)*F14,)</f>
        <v>8.3333333333333321</v>
      </c>
      <c r="H36" s="65">
        <f>IF(F14&gt;0,(H14*G36)/F14,)</f>
        <v>16999999.999999996</v>
      </c>
      <c r="I36" s="46">
        <f>'Presupuesto de ventas'!C81</f>
        <v>5</v>
      </c>
      <c r="J36" s="49">
        <f>IF(I47&gt;0,(I36/I47)*I14)</f>
        <v>8.3333333333333321</v>
      </c>
      <c r="K36" s="65">
        <f>IF(I14&gt;0,(K14*J36)/I14,)</f>
        <v>17509999.999999996</v>
      </c>
      <c r="L36" s="46">
        <f>'Presupuesto de ventas'!C81</f>
        <v>5</v>
      </c>
      <c r="M36" s="49">
        <f>IF(L47&gt;0,(L36/L47)*L14)</f>
        <v>8.3333333333333321</v>
      </c>
      <c r="N36" s="65">
        <f>IF(L14&gt;0,(N14*M36)/L14,)</f>
        <v>18210399.999999996</v>
      </c>
      <c r="O36" s="46">
        <f>'Presupuesto de ventas'!C81</f>
        <v>5</v>
      </c>
      <c r="P36" s="49">
        <f>IF(O47&gt;0,(O36/O47)*O14)</f>
        <v>8.3333333333333321</v>
      </c>
      <c r="Q36" s="65">
        <f>IF(O14&gt;0,(Q14*P36)/O14,)</f>
        <v>18938815.999999996</v>
      </c>
    </row>
    <row r="37" spans="1:17" x14ac:dyDescent="0.25">
      <c r="B37" s="69" t="s">
        <v>142</v>
      </c>
      <c r="C37" s="49">
        <f>'Presupuesto de ventas'!C82</f>
        <v>5</v>
      </c>
      <c r="D37" s="49">
        <f>'Presupuesto de ventas'!D82</f>
        <v>8.3333333333333321</v>
      </c>
      <c r="E37" s="65">
        <f>'Presupuesto de ventas'!E82</f>
        <v>16666666.666666672</v>
      </c>
      <c r="F37" s="46">
        <f>'Presupuesto de ventas'!C82</f>
        <v>5</v>
      </c>
      <c r="G37" s="49">
        <f>IF(F47&gt;0,(F37/F47)*F14,)</f>
        <v>8.3333333333333321</v>
      </c>
      <c r="H37" s="65">
        <f>IF(F14&gt;0,(H14*G37)/F14,)</f>
        <v>16999999.999999996</v>
      </c>
      <c r="I37" s="46">
        <f>'Presupuesto de ventas'!C82</f>
        <v>5</v>
      </c>
      <c r="J37" s="49">
        <f>IF(I47&gt;0,(I37/I47)*I14)</f>
        <v>8.3333333333333321</v>
      </c>
      <c r="K37" s="65">
        <f>IF(I14&gt;0,(K14*J37)/I14,)</f>
        <v>17509999.999999996</v>
      </c>
      <c r="L37" s="46">
        <f>'Presupuesto de ventas'!C82</f>
        <v>5</v>
      </c>
      <c r="M37" s="49">
        <f>IF(L47&gt;0,(L37/L47)*L14)</f>
        <v>8.3333333333333321</v>
      </c>
      <c r="N37" s="65">
        <f>IF(L14&gt;0,(N14*M37)/L14,)</f>
        <v>18210399.999999996</v>
      </c>
      <c r="O37" s="46">
        <f>'Presupuesto de ventas'!C82</f>
        <v>5</v>
      </c>
      <c r="P37" s="49">
        <f>IF(O47&gt;0,(O37/O47)*O14)</f>
        <v>8.3333333333333321</v>
      </c>
      <c r="Q37" s="65">
        <f>IF(O14&gt;0,(Q14*P37)/O14,)</f>
        <v>18938815.999999996</v>
      </c>
    </row>
    <row r="38" spans="1:17" x14ac:dyDescent="0.25">
      <c r="B38" s="69" t="s">
        <v>164</v>
      </c>
      <c r="C38" s="49">
        <f>'Presupuesto de ventas'!C83</f>
        <v>5</v>
      </c>
      <c r="D38" s="49">
        <f>'Presupuesto de ventas'!D83</f>
        <v>8.3333333333333321</v>
      </c>
      <c r="E38" s="65">
        <f>'Presupuesto de ventas'!E83</f>
        <v>16666666.666666672</v>
      </c>
      <c r="F38" s="46">
        <f>'Presupuesto de ventas'!C83</f>
        <v>5</v>
      </c>
      <c r="G38" s="49">
        <f>IF(F47&gt;0,(F38/F47)*F14,)</f>
        <v>8.3333333333333321</v>
      </c>
      <c r="H38" s="65">
        <f>IF(F14&gt;0,(H14*G38)/F14,)</f>
        <v>16999999.999999996</v>
      </c>
      <c r="I38" s="46">
        <f>'Presupuesto de ventas'!C83</f>
        <v>5</v>
      </c>
      <c r="J38" s="49">
        <f>IF(I47&gt;0,(I38/I47)*I14)</f>
        <v>8.3333333333333321</v>
      </c>
      <c r="K38" s="65">
        <f>IF(I14&gt;0,(K14*J38)/I14,)</f>
        <v>17509999.999999996</v>
      </c>
      <c r="L38" s="46">
        <f>'Presupuesto de ventas'!C83</f>
        <v>5</v>
      </c>
      <c r="M38" s="49">
        <f>IF(L47&gt;0,(L38/L47)*L14)</f>
        <v>8.3333333333333321</v>
      </c>
      <c r="N38" s="65">
        <f>IF(L14&gt;0,(N14*M38)/L14,)</f>
        <v>18210399.999999996</v>
      </c>
      <c r="O38" s="46">
        <f>'Presupuesto de ventas'!C83</f>
        <v>5</v>
      </c>
      <c r="P38" s="49">
        <f>IF(O47&gt;0,(O38/O47)*O14)</f>
        <v>8.3333333333333321</v>
      </c>
      <c r="Q38" s="65">
        <f>IF(O14&gt;0,(Q14*P38)/O14,)</f>
        <v>18938815.999999996</v>
      </c>
    </row>
    <row r="39" spans="1:17" x14ac:dyDescent="0.25">
      <c r="B39" s="69" t="s">
        <v>144</v>
      </c>
      <c r="C39" s="49">
        <f>'Presupuesto de ventas'!C84</f>
        <v>5</v>
      </c>
      <c r="D39" s="49">
        <f>'Presupuesto de ventas'!D84</f>
        <v>8.3333333333333321</v>
      </c>
      <c r="E39" s="65">
        <f>'Presupuesto de ventas'!E84</f>
        <v>16666666.666666672</v>
      </c>
      <c r="F39" s="46">
        <f>'Presupuesto de ventas'!C84</f>
        <v>5</v>
      </c>
      <c r="G39" s="49">
        <f>IF(F47&gt;0,(F39/F47)*F14,)</f>
        <v>8.3333333333333321</v>
      </c>
      <c r="H39" s="65">
        <f>IF(F14&gt;0,(H14*G39)/F14,)</f>
        <v>16999999.999999996</v>
      </c>
      <c r="I39" s="46">
        <f>'Presupuesto de ventas'!C84</f>
        <v>5</v>
      </c>
      <c r="J39" s="49">
        <f>IF(I47&gt;0,(I39/I47)*I14)</f>
        <v>8.3333333333333321</v>
      </c>
      <c r="K39" s="65">
        <f>IF(I14&gt;0,(K14*J39)/I14,)</f>
        <v>17509999.999999996</v>
      </c>
      <c r="L39" s="46">
        <f>'Presupuesto de ventas'!C84</f>
        <v>5</v>
      </c>
      <c r="M39" s="49">
        <f>IF(L47&gt;0,(L39/L47)*L14)</f>
        <v>8.3333333333333321</v>
      </c>
      <c r="N39" s="65">
        <f>IF(L14&gt;0,(N14*M39)/L14,)</f>
        <v>18210399.999999996</v>
      </c>
      <c r="O39" s="46">
        <f>'Presupuesto de ventas'!C84</f>
        <v>5</v>
      </c>
      <c r="P39" s="49">
        <f>IF(O47&gt;0,(O39/O47)*O14)</f>
        <v>8.3333333333333321</v>
      </c>
      <c r="Q39" s="65">
        <f>IF(O14&gt;0,(Q14*P39)/O14,)</f>
        <v>18938815.999999996</v>
      </c>
    </row>
    <row r="40" spans="1:17" x14ac:dyDescent="0.25">
      <c r="B40" s="69" t="s">
        <v>145</v>
      </c>
      <c r="C40" s="49">
        <f>'Presupuesto de ventas'!C85</f>
        <v>5</v>
      </c>
      <c r="D40" s="49">
        <f>'Presupuesto de ventas'!D85</f>
        <v>8.3333333333333321</v>
      </c>
      <c r="E40" s="65">
        <f>'Presupuesto de ventas'!E85</f>
        <v>16666666.666666672</v>
      </c>
      <c r="F40" s="46">
        <f>'Presupuesto de ventas'!C85</f>
        <v>5</v>
      </c>
      <c r="G40" s="49">
        <f>IF(F47&gt;0,(F40/F47)*F14,)</f>
        <v>8.3333333333333321</v>
      </c>
      <c r="H40" s="65">
        <f>IF(F14&gt;0,(H14*G40)/F14,)</f>
        <v>16999999.999999996</v>
      </c>
      <c r="I40" s="46">
        <f>'Presupuesto de ventas'!C85</f>
        <v>5</v>
      </c>
      <c r="J40" s="49">
        <f>IF(I47&gt;0,(I40/I47)*I14)</f>
        <v>8.3333333333333321</v>
      </c>
      <c r="K40" s="65">
        <f>IF(I14&gt;0,(K14*J40)/I14,)</f>
        <v>17509999.999999996</v>
      </c>
      <c r="L40" s="46">
        <f>'Presupuesto de ventas'!C85</f>
        <v>5</v>
      </c>
      <c r="M40" s="49">
        <f>IF(L47&gt;0,(L40/L47)*L14)</f>
        <v>8.3333333333333321</v>
      </c>
      <c r="N40" s="65">
        <f>IF(L14&gt;0,(N14*M40)/L14,)</f>
        <v>18210399.999999996</v>
      </c>
      <c r="O40" s="46">
        <f>'Presupuesto de ventas'!C85</f>
        <v>5</v>
      </c>
      <c r="P40" s="49">
        <f>IF(O47&gt;0,(O40/O47)*O14)</f>
        <v>8.3333333333333321</v>
      </c>
      <c r="Q40" s="65">
        <f>IF(O14&gt;0,(Q14*P40)/O14,)</f>
        <v>18938815.999999996</v>
      </c>
    </row>
    <row r="41" spans="1:17" x14ac:dyDescent="0.25">
      <c r="B41" s="69" t="s">
        <v>146</v>
      </c>
      <c r="C41" s="49">
        <f>'Presupuesto de ventas'!C86</f>
        <v>5</v>
      </c>
      <c r="D41" s="49">
        <f>'Presupuesto de ventas'!D86</f>
        <v>8.3333333333333321</v>
      </c>
      <c r="E41" s="65">
        <f>'Presupuesto de ventas'!E86</f>
        <v>16666666.666666672</v>
      </c>
      <c r="F41" s="46">
        <f>'Presupuesto de ventas'!C86</f>
        <v>5</v>
      </c>
      <c r="G41" s="49">
        <f>IF(F47&gt;0,(F41/F47)*F14,)</f>
        <v>8.3333333333333321</v>
      </c>
      <c r="H41" s="65">
        <f>IF(F14&gt;0,(H14*G41)/F14,)</f>
        <v>16999999.999999996</v>
      </c>
      <c r="I41" s="46">
        <f>'Presupuesto de ventas'!C86</f>
        <v>5</v>
      </c>
      <c r="J41" s="49">
        <f>IF(I47&gt;0,(I41/I47)*I14)</f>
        <v>8.3333333333333321</v>
      </c>
      <c r="K41" s="65">
        <f>IF(I14&gt;0,(K14*J41)/I14,)</f>
        <v>17509999.999999996</v>
      </c>
      <c r="L41" s="46">
        <f>'Presupuesto de ventas'!C86</f>
        <v>5</v>
      </c>
      <c r="M41" s="49">
        <f>IF(L47&gt;0,(L41/L47)*L14)</f>
        <v>8.3333333333333321</v>
      </c>
      <c r="N41" s="65">
        <f>IF(L14&gt;0,(N14*M41)/L14,)</f>
        <v>18210399.999999996</v>
      </c>
      <c r="O41" s="46">
        <f>'Presupuesto de ventas'!C86</f>
        <v>5</v>
      </c>
      <c r="P41" s="49">
        <f>IF(O47&gt;0,(O41/O47)*O14)</f>
        <v>8.3333333333333321</v>
      </c>
      <c r="Q41" s="65">
        <f>IF(O14&gt;0,(Q14*P41)/O14,)</f>
        <v>18938815.999999996</v>
      </c>
    </row>
    <row r="42" spans="1:17" x14ac:dyDescent="0.25">
      <c r="B42" s="69" t="s">
        <v>147</v>
      </c>
      <c r="C42" s="49">
        <f>'Presupuesto de ventas'!C87</f>
        <v>5</v>
      </c>
      <c r="D42" s="49">
        <f>'Presupuesto de ventas'!D87</f>
        <v>8.3333333333333321</v>
      </c>
      <c r="E42" s="65">
        <f>'Presupuesto de ventas'!E87</f>
        <v>16666666.666666672</v>
      </c>
      <c r="F42" s="46">
        <f>'Presupuesto de ventas'!C87</f>
        <v>5</v>
      </c>
      <c r="G42" s="49">
        <f>IF(F47&gt;0,(F42/F47)*F14,)</f>
        <v>8.3333333333333321</v>
      </c>
      <c r="H42" s="65">
        <f>IF(F14&gt;0,(H14*G42)/F14,)</f>
        <v>16999999.999999996</v>
      </c>
      <c r="I42" s="46">
        <f>'Presupuesto de ventas'!C87</f>
        <v>5</v>
      </c>
      <c r="J42" s="49">
        <f>IF(I47&gt;0,(I42/I47)*I14)</f>
        <v>8.3333333333333321</v>
      </c>
      <c r="K42" s="65">
        <f>IF(I14&gt;0,(K14*J42)/I14,)</f>
        <v>17509999.999999996</v>
      </c>
      <c r="L42" s="46">
        <f>'Presupuesto de ventas'!C87</f>
        <v>5</v>
      </c>
      <c r="M42" s="49">
        <f>IF(L47&gt;0,(L42/L47)*L14)</f>
        <v>8.3333333333333321</v>
      </c>
      <c r="N42" s="65">
        <f>IF(L14&gt;0,(N14*M42)/L14,)</f>
        <v>18210399.999999996</v>
      </c>
      <c r="O42" s="46">
        <f>'Presupuesto de ventas'!C87</f>
        <v>5</v>
      </c>
      <c r="P42" s="49">
        <f>IF(O47&gt;0,(O42/O47)*O14)</f>
        <v>8.3333333333333321</v>
      </c>
      <c r="Q42" s="65">
        <f>IF(O14&gt;0,(Q14*P42)/O14,)</f>
        <v>18938815.999999996</v>
      </c>
    </row>
    <row r="43" spans="1:17" x14ac:dyDescent="0.25">
      <c r="B43" s="69" t="s">
        <v>148</v>
      </c>
      <c r="C43" s="49">
        <f>'Presupuesto de ventas'!C88</f>
        <v>5</v>
      </c>
      <c r="D43" s="49">
        <f>'Presupuesto de ventas'!D88</f>
        <v>8.3333333333333321</v>
      </c>
      <c r="E43" s="65">
        <f>'Presupuesto de ventas'!E88</f>
        <v>16666666.666666672</v>
      </c>
      <c r="F43" s="46">
        <f>'Presupuesto de ventas'!C88</f>
        <v>5</v>
      </c>
      <c r="G43" s="49">
        <f>IF(F47&gt;0,(F43/F47)*F14,)</f>
        <v>8.3333333333333321</v>
      </c>
      <c r="H43" s="65">
        <f>IF(F14&gt;0,(H14*G43)/F14,)</f>
        <v>16999999.999999996</v>
      </c>
      <c r="I43" s="46">
        <f>'Presupuesto de ventas'!C88</f>
        <v>5</v>
      </c>
      <c r="J43" s="49">
        <f>IF(I47&gt;0,(I43/I47)*I14)</f>
        <v>8.3333333333333321</v>
      </c>
      <c r="K43" s="65">
        <f>IF(I14&gt;0,(K14*J43)/I14,)</f>
        <v>17509999.999999996</v>
      </c>
      <c r="L43" s="46">
        <f>'Presupuesto de ventas'!C88</f>
        <v>5</v>
      </c>
      <c r="M43" s="49">
        <f>IF(L47&gt;0,(L43/L47)*L14)</f>
        <v>8.3333333333333321</v>
      </c>
      <c r="N43" s="65">
        <f>IF(L14&gt;0,(N14*M43)/L14,)</f>
        <v>18210399.999999996</v>
      </c>
      <c r="O43" s="46">
        <f>'Presupuesto de ventas'!C88</f>
        <v>5</v>
      </c>
      <c r="P43" s="49">
        <f>IF(O47&gt;0,(O43/O47)*O14)</f>
        <v>8.3333333333333321</v>
      </c>
      <c r="Q43" s="65">
        <f>IF(O14&gt;0,(Q14*P43)/O14,)</f>
        <v>18938815.999999996</v>
      </c>
    </row>
    <row r="44" spans="1:17" x14ac:dyDescent="0.25">
      <c r="B44" s="69" t="s">
        <v>149</v>
      </c>
      <c r="C44" s="49">
        <f>'Presupuesto de ventas'!C89</f>
        <v>5</v>
      </c>
      <c r="D44" s="49">
        <f>'Presupuesto de ventas'!D89</f>
        <v>8.3333333333333321</v>
      </c>
      <c r="E44" s="65">
        <f>'Presupuesto de ventas'!E89</f>
        <v>16666666.666666672</v>
      </c>
      <c r="F44" s="46">
        <f>'Presupuesto de ventas'!C89</f>
        <v>5</v>
      </c>
      <c r="G44" s="49">
        <f>IF(F47&gt;0,(F44/F47)*F14,)</f>
        <v>8.3333333333333321</v>
      </c>
      <c r="H44" s="65">
        <f>IF(F14&gt;0,(H14*G44)/F14,)</f>
        <v>16999999.999999996</v>
      </c>
      <c r="I44" s="46">
        <f>'Presupuesto de ventas'!C89</f>
        <v>5</v>
      </c>
      <c r="J44" s="49">
        <f>IF(I47&gt;0,(I44/I47)*I14)</f>
        <v>8.3333333333333321</v>
      </c>
      <c r="K44" s="65">
        <f>IF(I14&gt;0,(K14*J44)/I14,)</f>
        <v>17509999.999999996</v>
      </c>
      <c r="L44" s="46">
        <f>'Presupuesto de ventas'!C89</f>
        <v>5</v>
      </c>
      <c r="M44" s="49">
        <f>IF(L47&gt;0,(L44/L47)*L14)</f>
        <v>8.3333333333333321</v>
      </c>
      <c r="N44" s="65">
        <f>IF(L14&gt;0,(N14*M44)/L14,)</f>
        <v>18210399.999999996</v>
      </c>
      <c r="O44" s="46">
        <f>'Presupuesto de ventas'!C89</f>
        <v>5</v>
      </c>
      <c r="P44" s="49">
        <f>IF(O47&gt;0,(O44/O47)*O14)</f>
        <v>8.3333333333333321</v>
      </c>
      <c r="Q44" s="65">
        <f>IF(O14&gt;0,(Q14*P44)/O14,)</f>
        <v>18938815.999999996</v>
      </c>
    </row>
    <row r="45" spans="1:17" x14ac:dyDescent="0.25">
      <c r="B45" s="69" t="s">
        <v>150</v>
      </c>
      <c r="C45" s="49">
        <f>'Presupuesto de ventas'!C90</f>
        <v>5</v>
      </c>
      <c r="D45" s="49">
        <f>'Presupuesto de ventas'!D90</f>
        <v>8.3333333333333321</v>
      </c>
      <c r="E45" s="65">
        <f>'Presupuesto de ventas'!E90</f>
        <v>16666666.666666672</v>
      </c>
      <c r="F45" s="46">
        <f>'Presupuesto de ventas'!C90</f>
        <v>5</v>
      </c>
      <c r="G45" s="49">
        <f>IF(F47&gt;0,(F45/F47)*F14,)</f>
        <v>8.3333333333333321</v>
      </c>
      <c r="H45" s="65">
        <f>IF(F14&gt;0,(H14*G45)/F14,)</f>
        <v>16999999.999999996</v>
      </c>
      <c r="I45" s="46">
        <f>'Presupuesto de ventas'!C90</f>
        <v>5</v>
      </c>
      <c r="J45" s="49">
        <f>IF(I47&gt;0,(I45/I47)*I14)</f>
        <v>8.3333333333333321</v>
      </c>
      <c r="K45" s="65">
        <f>IF(I14&gt;0,(K14*J45)/I14,)</f>
        <v>17509999.999999996</v>
      </c>
      <c r="L45" s="46">
        <f>'Presupuesto de ventas'!C90</f>
        <v>5</v>
      </c>
      <c r="M45" s="49">
        <f>IF(48&gt;0,(L45/L47)*L14)</f>
        <v>8.3333333333333321</v>
      </c>
      <c r="N45" s="65">
        <f>IF(L14&gt;0,(N14*M45)/L14,)</f>
        <v>18210399.999999996</v>
      </c>
      <c r="O45" s="46">
        <f>'Presupuesto de ventas'!C90</f>
        <v>5</v>
      </c>
      <c r="P45" s="49">
        <f>IF(O47&gt;0,(O45/O47)*O14)</f>
        <v>8.3333333333333321</v>
      </c>
      <c r="Q45" s="65">
        <f>IF(O14&gt;0,(Q14*P45)/O14,)</f>
        <v>18938815.999999996</v>
      </c>
    </row>
    <row r="46" spans="1:17" x14ac:dyDescent="0.25">
      <c r="B46" s="69" t="s">
        <v>151</v>
      </c>
      <c r="C46" s="49">
        <f>'Presupuesto de ventas'!C91</f>
        <v>5</v>
      </c>
      <c r="D46" s="49">
        <f>'Presupuesto de ventas'!D91</f>
        <v>8.3333333333333321</v>
      </c>
      <c r="E46" s="65">
        <f>'Presupuesto de ventas'!E91</f>
        <v>16666666.666666672</v>
      </c>
      <c r="F46" s="46">
        <f>'Presupuesto de ventas'!C91</f>
        <v>5</v>
      </c>
      <c r="G46" s="49">
        <f>IF(F47&gt;0,(F46/F47)*F14,)</f>
        <v>8.3333333333333321</v>
      </c>
      <c r="H46" s="65">
        <f>IF(F14&gt;0,(H14*G46)/F14,)</f>
        <v>16999999.999999996</v>
      </c>
      <c r="I46" s="46">
        <f>'Presupuesto de ventas'!C91</f>
        <v>5</v>
      </c>
      <c r="J46" s="49">
        <f>IF(I47&gt;0,(I46/I47)*I14)</f>
        <v>8.3333333333333321</v>
      </c>
      <c r="K46" s="65">
        <f>IF(I14&gt;0,(K14*J46)/I14,)</f>
        <v>17509999.999999996</v>
      </c>
      <c r="L46" s="46">
        <f>'Presupuesto de ventas'!C91</f>
        <v>5</v>
      </c>
      <c r="M46" s="49">
        <f>IF(L47&gt;0,(L46/L47)*L14)</f>
        <v>8.3333333333333321</v>
      </c>
      <c r="N46" s="65">
        <f>IF(L14&gt;0,(N14*M46)/L14,)</f>
        <v>18210399.999999996</v>
      </c>
      <c r="O46" s="46">
        <f>'Presupuesto de ventas'!C91</f>
        <v>5</v>
      </c>
      <c r="P46" s="49">
        <f>IF(O47&gt;0,(O46/O47)*O14)</f>
        <v>8.3333333333333321</v>
      </c>
      <c r="Q46" s="65">
        <f>IF(O14&gt;0,(Q14*P46)/O14,)</f>
        <v>18938815.999999996</v>
      </c>
    </row>
    <row r="47" spans="1:17" x14ac:dyDescent="0.25">
      <c r="B47" s="31" t="s">
        <v>59</v>
      </c>
      <c r="C47" s="31">
        <f t="shared" ref="C47:J47" si="1">SUM(C35:C46)</f>
        <v>60</v>
      </c>
      <c r="D47" s="53">
        <f t="shared" si="1"/>
        <v>99.999999999999957</v>
      </c>
      <c r="E47" s="70">
        <f t="shared" si="1"/>
        <v>200000000.00000012</v>
      </c>
      <c r="F47" s="31">
        <f t="shared" si="1"/>
        <v>60</v>
      </c>
      <c r="G47" s="53">
        <f t="shared" si="1"/>
        <v>99.999999999999957</v>
      </c>
      <c r="H47" s="66">
        <f t="shared" si="1"/>
        <v>203999999.99999997</v>
      </c>
      <c r="I47" s="31">
        <f t="shared" si="1"/>
        <v>60</v>
      </c>
      <c r="J47" s="31">
        <f t="shared" si="1"/>
        <v>99.999999999999957</v>
      </c>
      <c r="K47" s="43">
        <f t="shared" ref="K47:Q47" si="2">SUM(K35:K46)</f>
        <v>210119999.99999997</v>
      </c>
      <c r="L47" s="31">
        <f t="shared" si="2"/>
        <v>60</v>
      </c>
      <c r="M47" s="53">
        <f t="shared" si="2"/>
        <v>99.999999999999957</v>
      </c>
      <c r="N47" s="66">
        <f t="shared" si="2"/>
        <v>218524799.99999997</v>
      </c>
      <c r="O47" s="31">
        <f t="shared" si="2"/>
        <v>60</v>
      </c>
      <c r="P47" s="31">
        <f t="shared" si="2"/>
        <v>99.999999999999957</v>
      </c>
      <c r="Q47" s="66">
        <f t="shared" si="2"/>
        <v>227265791.99999997</v>
      </c>
    </row>
  </sheetData>
  <mergeCells count="14">
    <mergeCell ref="B31:Q31"/>
    <mergeCell ref="B33:B34"/>
    <mergeCell ref="C33:E33"/>
    <mergeCell ref="F33:H33"/>
    <mergeCell ref="I33:K33"/>
    <mergeCell ref="L33:N33"/>
    <mergeCell ref="O33:Q33"/>
    <mergeCell ref="B3:Q3"/>
    <mergeCell ref="B5:B6"/>
    <mergeCell ref="C5:E5"/>
    <mergeCell ref="F5:H5"/>
    <mergeCell ref="I5:K5"/>
    <mergeCell ref="L5:N5"/>
    <mergeCell ref="O5:Q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H56"/>
  <sheetViews>
    <sheetView topLeftCell="A18" zoomScale="85" zoomScaleNormal="85" workbookViewId="0">
      <selection activeCell="D8" sqref="D8:D15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30" t="s">
        <v>173</v>
      </c>
      <c r="D3" s="130"/>
      <c r="E3" s="130"/>
      <c r="F3" s="130"/>
      <c r="G3" s="130"/>
      <c r="H3" s="130"/>
    </row>
    <row r="5" spans="3:8" x14ac:dyDescent="0.25">
      <c r="C5" s="141" t="s">
        <v>96</v>
      </c>
      <c r="D5" s="142"/>
      <c r="E5" s="142"/>
      <c r="F5" s="142"/>
      <c r="G5" s="142"/>
      <c r="H5" s="143"/>
    </row>
    <row r="6" spans="3:8" x14ac:dyDescent="0.25">
      <c r="C6" s="45" t="s">
        <v>79</v>
      </c>
      <c r="D6" s="45" t="s">
        <v>137</v>
      </c>
      <c r="E6" s="45" t="s">
        <v>124</v>
      </c>
      <c r="F6" s="45" t="s">
        <v>125</v>
      </c>
      <c r="G6" s="45" t="s">
        <v>126</v>
      </c>
      <c r="H6" s="45" t="s">
        <v>127</v>
      </c>
    </row>
    <row r="7" spans="3:8" x14ac:dyDescent="0.25">
      <c r="C7" s="55" t="s">
        <v>174</v>
      </c>
      <c r="D7" s="65">
        <f>'Total de Inversion'!H10</f>
        <v>118184640</v>
      </c>
      <c r="E7" s="65">
        <f>D7*Nomina!M$31</f>
        <v>125275718.40000001</v>
      </c>
      <c r="F7" s="65">
        <f>E7*Nomina!M$32</f>
        <v>131539504.32000001</v>
      </c>
      <c r="G7" s="65">
        <f>F7*Nomina!M$33</f>
        <v>139431874.57920003</v>
      </c>
      <c r="H7" s="65">
        <f>G7*Nomina!M$34</f>
        <v>146403468.30816004</v>
      </c>
    </row>
    <row r="8" spans="3:8" x14ac:dyDescent="0.25">
      <c r="C8" s="80" t="s">
        <v>41</v>
      </c>
      <c r="D8" s="65">
        <f>Nomina!F31*12</f>
        <v>3120000</v>
      </c>
      <c r="E8" s="65">
        <f>D8*Nomina!M$31</f>
        <v>3307200</v>
      </c>
      <c r="F8" s="65">
        <f>E8*Nomina!M$32</f>
        <v>3472560</v>
      </c>
      <c r="G8" s="65">
        <f>F8*Nomina!M$33</f>
        <v>3680913.6</v>
      </c>
      <c r="H8" s="65">
        <f>G8*Nomina!M$34</f>
        <v>3864959.2800000003</v>
      </c>
    </row>
    <row r="9" spans="3:8" x14ac:dyDescent="0.25">
      <c r="C9" s="80" t="s">
        <v>42</v>
      </c>
      <c r="D9" s="65">
        <f>Nomina!F32*12</f>
        <v>2340000</v>
      </c>
      <c r="E9" s="65">
        <f>D9*Nomina!M$31</f>
        <v>2480400</v>
      </c>
      <c r="F9" s="65">
        <f>E9*Nomina!M$32</f>
        <v>2604420</v>
      </c>
      <c r="G9" s="65">
        <f>F9*Nomina!M$33</f>
        <v>2760685.2</v>
      </c>
      <c r="H9" s="65">
        <f>G9*Nomina!M$34</f>
        <v>2898719.4600000004</v>
      </c>
    </row>
    <row r="10" spans="3:8" x14ac:dyDescent="0.25">
      <c r="C10" s="80" t="s">
        <v>43</v>
      </c>
      <c r="D10" s="65">
        <f>Nomina!F33*12</f>
        <v>1560000</v>
      </c>
      <c r="E10" s="65">
        <f>D10*Nomina!M$31</f>
        <v>1653600</v>
      </c>
      <c r="F10" s="65">
        <f>E10*Nomina!M$32</f>
        <v>1736280</v>
      </c>
      <c r="G10" s="65">
        <f>F10*Nomina!M$33</f>
        <v>1840456.8</v>
      </c>
      <c r="H10" s="65">
        <f>G10*Nomina!M$34</f>
        <v>1932479.6400000001</v>
      </c>
    </row>
    <row r="11" spans="3:8" x14ac:dyDescent="0.25">
      <c r="C11" s="80" t="s">
        <v>44</v>
      </c>
      <c r="D11" s="65">
        <f>Nomina!F34*12</f>
        <v>9360000</v>
      </c>
      <c r="E11" s="65">
        <f>D11*Nomina!M$31</f>
        <v>9921600</v>
      </c>
      <c r="F11" s="65">
        <f>E11*Nomina!M$32</f>
        <v>10417680</v>
      </c>
      <c r="G11" s="65">
        <f>F11*Nomina!M$33</f>
        <v>11042740.800000001</v>
      </c>
      <c r="H11" s="65">
        <f>G11*Nomina!M$34</f>
        <v>11594877.840000002</v>
      </c>
    </row>
    <row r="12" spans="3:8" x14ac:dyDescent="0.25">
      <c r="C12" s="80" t="s">
        <v>20</v>
      </c>
      <c r="D12" s="65">
        <f>Nomina!F35*12</f>
        <v>6630000</v>
      </c>
      <c r="E12" s="65">
        <f>D12*Nomina!M$31</f>
        <v>7027800</v>
      </c>
      <c r="F12" s="65">
        <f>E12*Nomina!M$32</f>
        <v>7379190</v>
      </c>
      <c r="G12" s="65">
        <f>F12*Nomina!M$33</f>
        <v>7821941.4000000004</v>
      </c>
      <c r="H12" s="65">
        <f>G12*Nomina!M$34</f>
        <v>8213038.4700000007</v>
      </c>
    </row>
    <row r="13" spans="3:8" x14ac:dyDescent="0.25">
      <c r="C13" s="80" t="s">
        <v>45</v>
      </c>
      <c r="D13" s="65">
        <f>Nomina!F36*12</f>
        <v>6497400</v>
      </c>
      <c r="E13" s="65">
        <f>D13*Nomina!M$31</f>
        <v>6887244</v>
      </c>
      <c r="F13" s="65">
        <f>E13*Nomina!M$32</f>
        <v>7231606.2000000002</v>
      </c>
      <c r="G13" s="65">
        <f>F13*Nomina!M$33</f>
        <v>7665502.5720000006</v>
      </c>
      <c r="H13" s="65">
        <f>G13*Nomina!M$34</f>
        <v>8048777.700600001</v>
      </c>
    </row>
    <row r="14" spans="3:8" x14ac:dyDescent="0.25">
      <c r="C14" s="80" t="s">
        <v>46</v>
      </c>
      <c r="D14" s="65">
        <f>Nomina!F37*12</f>
        <v>780000</v>
      </c>
      <c r="E14" s="65">
        <f>D14*Nomina!M$31</f>
        <v>826800</v>
      </c>
      <c r="F14" s="65">
        <f>E14*Nomina!M$32</f>
        <v>868140</v>
      </c>
      <c r="G14" s="65">
        <f>F14*Nomina!M$33</f>
        <v>920228.4</v>
      </c>
      <c r="H14" s="65">
        <f>G14*Nomina!M$34</f>
        <v>966239.82000000007</v>
      </c>
    </row>
    <row r="15" spans="3:8" x14ac:dyDescent="0.25">
      <c r="C15" s="80" t="s">
        <v>47</v>
      </c>
      <c r="D15" s="65">
        <f>Nomina!F38*12</f>
        <v>6497400</v>
      </c>
      <c r="E15" s="65">
        <f>D15*Nomina!M$31</f>
        <v>6887244</v>
      </c>
      <c r="F15" s="65">
        <f>E15*Nomina!M$32</f>
        <v>7231606.2000000002</v>
      </c>
      <c r="G15" s="65">
        <f>F15*Nomina!M$33</f>
        <v>7665502.5720000006</v>
      </c>
      <c r="H15" s="65">
        <f>G15*Nomina!M$34</f>
        <v>8048777.700600001</v>
      </c>
    </row>
    <row r="16" spans="3:8" x14ac:dyDescent="0.25">
      <c r="C16" s="80" t="s">
        <v>48</v>
      </c>
      <c r="D16" s="65">
        <f>Nomina!F39*12</f>
        <v>3252600</v>
      </c>
      <c r="E16" s="65">
        <f>D16*Nomina!M$31</f>
        <v>3447756</v>
      </c>
      <c r="F16" s="65">
        <f>E16*Nomina!M$32</f>
        <v>3620143.8000000003</v>
      </c>
      <c r="G16" s="65">
        <f>F16*Nomina!M$33</f>
        <v>3837352.4280000003</v>
      </c>
      <c r="H16" s="65">
        <f>G16*Nomina!M$34</f>
        <v>4029220.0494000004</v>
      </c>
    </row>
    <row r="17" spans="3:8" x14ac:dyDescent="0.25">
      <c r="C17" s="81" t="s">
        <v>109</v>
      </c>
      <c r="D17" s="82">
        <f>SUM(D7:D16)</f>
        <v>158222040</v>
      </c>
      <c r="E17" s="82">
        <f t="shared" ref="E17:H17" si="0">SUM(E7:E16)</f>
        <v>167715362.40000001</v>
      </c>
      <c r="F17" s="82">
        <f t="shared" si="0"/>
        <v>176101130.51999998</v>
      </c>
      <c r="G17" s="82">
        <f t="shared" si="0"/>
        <v>186667198.35120004</v>
      </c>
      <c r="H17" s="82">
        <f t="shared" si="0"/>
        <v>196000558.26876003</v>
      </c>
    </row>
    <row r="18" spans="3:8" x14ac:dyDescent="0.25">
      <c r="C18" s="74"/>
      <c r="D18" s="75"/>
      <c r="E18" s="75"/>
      <c r="F18" s="75"/>
      <c r="G18" s="75"/>
      <c r="H18" s="75"/>
    </row>
    <row r="19" spans="3:8" x14ac:dyDescent="0.25">
      <c r="C19" s="74"/>
      <c r="D19" s="75"/>
      <c r="E19" s="75"/>
      <c r="F19" s="75"/>
      <c r="G19" s="75"/>
      <c r="H19" s="75"/>
    </row>
    <row r="20" spans="3:8" x14ac:dyDescent="0.25">
      <c r="C20" s="74"/>
      <c r="D20" s="75"/>
      <c r="E20" s="75"/>
      <c r="F20" s="75"/>
      <c r="G20" s="75"/>
      <c r="H20" s="75"/>
    </row>
    <row r="21" spans="3:8" x14ac:dyDescent="0.25">
      <c r="C21" s="74"/>
      <c r="D21" s="75"/>
      <c r="E21" s="75"/>
      <c r="F21" s="75"/>
      <c r="G21" s="75"/>
      <c r="H21" s="75"/>
    </row>
    <row r="22" spans="3:8" x14ac:dyDescent="0.25">
      <c r="C22" s="74"/>
      <c r="D22" s="75"/>
      <c r="E22" s="75"/>
      <c r="F22" s="75"/>
      <c r="G22" s="75"/>
      <c r="H22" s="75"/>
    </row>
    <row r="23" spans="3:8" x14ac:dyDescent="0.25">
      <c r="C23" s="74"/>
      <c r="D23" s="75"/>
      <c r="E23" s="75"/>
      <c r="F23" s="75"/>
      <c r="G23" s="75"/>
      <c r="H23" s="75"/>
    </row>
    <row r="24" spans="3:8" x14ac:dyDescent="0.25">
      <c r="C24" s="67"/>
      <c r="D24" s="76"/>
      <c r="E24" s="76"/>
      <c r="F24" s="76"/>
      <c r="G24" s="76"/>
      <c r="H24" s="76"/>
    </row>
    <row r="25" spans="3:8" x14ac:dyDescent="0.25">
      <c r="C25" s="74"/>
      <c r="D25" s="74"/>
      <c r="E25" s="74"/>
      <c r="F25" s="74"/>
      <c r="G25" s="74"/>
      <c r="H25" s="74"/>
    </row>
    <row r="26" spans="3:8" x14ac:dyDescent="0.25">
      <c r="C26" s="74"/>
      <c r="D26" s="74"/>
      <c r="E26" s="74"/>
      <c r="F26" s="74"/>
      <c r="G26" s="74"/>
      <c r="H26" s="74"/>
    </row>
    <row r="27" spans="3:8" x14ac:dyDescent="0.25">
      <c r="C27" s="78"/>
      <c r="D27" s="78"/>
      <c r="E27" s="78"/>
      <c r="F27" s="78"/>
      <c r="G27" s="78"/>
      <c r="H27" s="78"/>
    </row>
    <row r="28" spans="3:8" x14ac:dyDescent="0.25">
      <c r="C28" s="73"/>
      <c r="D28" s="73"/>
      <c r="E28" s="73"/>
      <c r="F28" s="73"/>
      <c r="G28" s="73"/>
      <c r="H28" s="73"/>
    </row>
    <row r="29" spans="3:8" x14ac:dyDescent="0.25">
      <c r="C29" s="74"/>
      <c r="D29" s="75"/>
      <c r="E29" s="75"/>
      <c r="F29" s="75"/>
      <c r="G29" s="75"/>
      <c r="H29" s="75"/>
    </row>
    <row r="30" spans="3:8" x14ac:dyDescent="0.25">
      <c r="C30" s="74"/>
      <c r="D30" s="75"/>
      <c r="E30" s="75"/>
      <c r="F30" s="75"/>
      <c r="G30" s="75"/>
      <c r="H30" s="75"/>
    </row>
    <row r="31" spans="3:8" x14ac:dyDescent="0.25">
      <c r="C31" s="74"/>
      <c r="D31" s="75"/>
      <c r="E31" s="75"/>
      <c r="F31" s="75"/>
      <c r="G31" s="75"/>
      <c r="H31" s="75"/>
    </row>
    <row r="32" spans="3:8" x14ac:dyDescent="0.25">
      <c r="C32" s="67"/>
      <c r="D32" s="76"/>
      <c r="E32" s="76"/>
      <c r="F32" s="76"/>
      <c r="G32" s="76"/>
      <c r="H32" s="76"/>
    </row>
    <row r="36" spans="3:8" x14ac:dyDescent="0.25">
      <c r="D36" s="71"/>
      <c r="E36" s="71"/>
      <c r="F36" s="71"/>
      <c r="G36" s="71"/>
      <c r="H36" s="71"/>
    </row>
    <row r="38" spans="3:8" x14ac:dyDescent="0.25">
      <c r="D38" s="71"/>
      <c r="E38" s="71"/>
      <c r="F38" s="71"/>
      <c r="G38" s="71"/>
      <c r="H38" s="71"/>
    </row>
    <row r="40" spans="3:8" x14ac:dyDescent="0.25">
      <c r="D40" s="71"/>
      <c r="E40" s="71"/>
      <c r="H40" s="72"/>
    </row>
    <row r="46" spans="3:8" x14ac:dyDescent="0.25">
      <c r="C46" s="78"/>
    </row>
    <row r="47" spans="3:8" x14ac:dyDescent="0.25">
      <c r="C47" s="74"/>
    </row>
    <row r="48" spans="3:8" x14ac:dyDescent="0.25">
      <c r="C48" s="74"/>
    </row>
    <row r="49" spans="3:3" x14ac:dyDescent="0.25">
      <c r="C49" s="74"/>
    </row>
    <row r="50" spans="3:3" x14ac:dyDescent="0.25">
      <c r="C50" s="74"/>
    </row>
    <row r="51" spans="3:3" x14ac:dyDescent="0.25">
      <c r="C51" s="74"/>
    </row>
    <row r="52" spans="3:3" x14ac:dyDescent="0.25">
      <c r="C52" s="74"/>
    </row>
    <row r="53" spans="3:3" x14ac:dyDescent="0.25">
      <c r="C53" s="74"/>
    </row>
    <row r="54" spans="3:3" x14ac:dyDescent="0.25">
      <c r="C54" s="74"/>
    </row>
    <row r="55" spans="3:3" x14ac:dyDescent="0.25">
      <c r="C55" s="74"/>
    </row>
    <row r="56" spans="3:3" x14ac:dyDescent="0.25">
      <c r="C56" s="74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Julian Andres</cp:lastModifiedBy>
  <dcterms:created xsi:type="dcterms:W3CDTF">2021-04-06T16:23:29Z</dcterms:created>
  <dcterms:modified xsi:type="dcterms:W3CDTF">2021-05-15T15:53:57Z</dcterms:modified>
</cp:coreProperties>
</file>