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erreyra\Desktop\FACULTAD\3er año\2 do. cuatrimestre\electrotecnia\SEGUNDA PARTE\"/>
    </mc:Choice>
  </mc:AlternateContent>
  <bookViews>
    <workbookView xWindow="0" yWindow="0" windowWidth="20490" windowHeight="7455" firstSheet="1" activeTab="6"/>
  </bookViews>
  <sheets>
    <sheet name="+ y - (NºEXP)" sheetId="3" r:id="rId1"/>
    <sheet name="PASAJES" sheetId="1" r:id="rId2"/>
    <sheet name="LEY DE OHM(EN EXP)" sheetId="2" r:id="rId3"/>
    <sheet name="EST-EST" sheetId="4" r:id="rId4"/>
    <sheet name="EST-EST-Rpat" sheetId="7" r:id="rId5"/>
    <sheet name="EST-TRI" sheetId="5" r:id="rId6"/>
    <sheet name="TRANSF" sheetId="8" r:id="rId7"/>
  </sheets>
  <definedNames>
    <definedName name="Z_3A3E5509_6F94_4D69_A7C4_CEBE4E279804_.wvu.Cols" localSheetId="1" hidden="1">PASAJES!$A:$A</definedName>
  </definedNames>
  <calcPr calcId="152511"/>
  <customWorkbookViews>
    <customWorkbookView name="juan ferreyra - Vista personalizada" guid="{3A3E5509-6F94-4D69-A7C4-CEBE4E279804}" mergeInterval="0" personalView="1" maximized="1" xWindow="-8" yWindow="-8" windowWidth="1382" windowHeight="744" activeSheetId="8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69" i="8" l="1"/>
  <c r="P171" i="8"/>
  <c r="P173" i="8"/>
  <c r="P172" i="8"/>
  <c r="P143" i="8"/>
  <c r="P141" i="8"/>
  <c r="P145" i="8"/>
  <c r="P147" i="8"/>
  <c r="P146" i="8"/>
  <c r="D145" i="8"/>
  <c r="D149" i="8"/>
  <c r="D147" i="8"/>
  <c r="D146" i="8"/>
  <c r="D118" i="8"/>
  <c r="D114" i="8"/>
  <c r="N115" i="8"/>
  <c r="N114" i="8"/>
  <c r="D19" i="1" l="1"/>
  <c r="C19" i="1"/>
  <c r="C21" i="1"/>
  <c r="K19" i="1" s="1"/>
  <c r="M19" i="1" l="1"/>
  <c r="W148" i="8"/>
  <c r="G109" i="8"/>
  <c r="G110" i="8" s="1"/>
  <c r="Q110" i="8"/>
  <c r="Q111" i="8" s="1"/>
  <c r="Q114" i="8" s="1"/>
  <c r="S110" i="8"/>
  <c r="S111" i="8"/>
  <c r="Q112" i="8"/>
  <c r="Q113" i="8"/>
  <c r="G120" i="8"/>
  <c r="Q120" i="8"/>
  <c r="R142" i="8"/>
  <c r="R143" i="8"/>
  <c r="F145" i="8"/>
  <c r="R145" i="8"/>
  <c r="F146" i="8"/>
  <c r="R146" i="8"/>
  <c r="F147" i="8"/>
  <c r="R147" i="8"/>
  <c r="W147" i="8"/>
  <c r="H148" i="8"/>
  <c r="F149" i="8"/>
  <c r="R169" i="8"/>
  <c r="R170" i="8"/>
  <c r="R171" i="8"/>
  <c r="R172" i="8"/>
  <c r="R173" i="8"/>
  <c r="V174" i="8"/>
  <c r="V175" i="8"/>
  <c r="W117" i="8" l="1"/>
  <c r="V177" i="8" s="1"/>
  <c r="T110" i="8"/>
  <c r="H149" i="8"/>
  <c r="H150" i="8" s="1"/>
  <c r="G145" i="8" s="1"/>
  <c r="T111" i="8"/>
  <c r="W118" i="8"/>
  <c r="R117" i="8"/>
  <c r="V118" i="8"/>
  <c r="V117" i="8"/>
  <c r="G111" i="8"/>
  <c r="G113" i="8" s="1"/>
  <c r="H117" i="8" s="1"/>
  <c r="G112" i="8"/>
  <c r="G114" i="8" s="1"/>
  <c r="G118" i="8" s="1"/>
  <c r="R118" i="8"/>
  <c r="Q117" i="8"/>
  <c r="Q118" i="8"/>
  <c r="W149" i="8" l="1"/>
  <c r="V176" i="8"/>
  <c r="S164" i="8" s="1"/>
  <c r="W150" i="8"/>
  <c r="H118" i="8"/>
  <c r="G117" i="8"/>
  <c r="T145" i="8" l="1"/>
  <c r="A44" i="4"/>
  <c r="S8" i="5" l="1"/>
  <c r="S4" i="5"/>
  <c r="Z77" i="4" l="1"/>
  <c r="X79" i="4"/>
  <c r="Y79" i="4"/>
  <c r="Y78" i="4"/>
  <c r="X78" i="4"/>
  <c r="Y77" i="4"/>
  <c r="X77" i="4"/>
  <c r="P32" i="4"/>
  <c r="R1" i="4"/>
  <c r="I1" i="4"/>
  <c r="C22" i="1"/>
  <c r="E23" i="1" s="1"/>
  <c r="Q32" i="7"/>
  <c r="R55" i="4"/>
  <c r="D23" i="1" l="1"/>
  <c r="O19" i="1" s="1"/>
  <c r="Z79" i="4"/>
  <c r="Z78" i="4"/>
  <c r="I4" i="4" l="1"/>
  <c r="I3" i="4"/>
  <c r="I2" i="4"/>
  <c r="I1" i="7"/>
  <c r="O58" i="7" l="1"/>
  <c r="L1" i="7"/>
  <c r="E4" i="7"/>
  <c r="E2" i="7"/>
  <c r="E3" i="7"/>
  <c r="P58" i="7"/>
  <c r="P57" i="7"/>
  <c r="O57" i="7"/>
  <c r="P56" i="7"/>
  <c r="O56" i="7"/>
  <c r="P55" i="7"/>
  <c r="O55" i="7"/>
  <c r="J50" i="7"/>
  <c r="J49" i="7"/>
  <c r="J48" i="7"/>
  <c r="Q85" i="7"/>
  <c r="B22" i="7"/>
  <c r="F21" i="7"/>
  <c r="E21" i="7"/>
  <c r="B21" i="7"/>
  <c r="F10" i="7"/>
  <c r="R66" i="7" l="1"/>
  <c r="Q86" i="7"/>
  <c r="Q55" i="7"/>
  <c r="P85" i="7"/>
  <c r="P84" i="7"/>
  <c r="P86" i="7"/>
  <c r="Q84" i="7"/>
  <c r="R58" i="7"/>
  <c r="R57" i="7"/>
  <c r="R65" i="7"/>
  <c r="R56" i="7"/>
  <c r="Q57" i="7"/>
  <c r="R55" i="7"/>
  <c r="Q58" i="7"/>
  <c r="AD66" i="7" s="1"/>
  <c r="R64" i="7"/>
  <c r="I48" i="7"/>
  <c r="Q64" i="7" s="1"/>
  <c r="I3" i="7"/>
  <c r="I2" i="7"/>
  <c r="I4" i="7"/>
  <c r="Q56" i="7"/>
  <c r="I49" i="7"/>
  <c r="Q65" i="7" s="1"/>
  <c r="I50" i="7"/>
  <c r="I5" i="5"/>
  <c r="I4" i="5"/>
  <c r="I3" i="5"/>
  <c r="R12" i="5"/>
  <c r="T36" i="5" s="1"/>
  <c r="R8" i="5"/>
  <c r="R37" i="5" s="1"/>
  <c r="R4" i="5"/>
  <c r="R33" i="5" s="1"/>
  <c r="E5" i="5"/>
  <c r="E4" i="5"/>
  <c r="E3" i="5"/>
  <c r="E4" i="4"/>
  <c r="E3" i="4"/>
  <c r="E2" i="4"/>
  <c r="AD64" i="7" l="1"/>
  <c r="R9" i="5"/>
  <c r="T37" i="5"/>
  <c r="R5" i="5"/>
  <c r="R6" i="5" s="1"/>
  <c r="T33" i="5"/>
  <c r="V33" i="5" s="1"/>
  <c r="AD63" i="7"/>
  <c r="AD65" i="7"/>
  <c r="O64" i="7"/>
  <c r="R36" i="5"/>
  <c r="R13" i="5"/>
  <c r="O62" i="7"/>
  <c r="T64" i="7"/>
  <c r="S64" i="7"/>
  <c r="S65" i="7"/>
  <c r="T65" i="7"/>
  <c r="Q66" i="7"/>
  <c r="L50" i="7"/>
  <c r="K50" i="7"/>
  <c r="L48" i="7"/>
  <c r="K48" i="7"/>
  <c r="L49" i="7"/>
  <c r="K49" i="7"/>
  <c r="S12" i="5"/>
  <c r="AC68" i="7" l="1"/>
  <c r="A70" i="7" s="1"/>
  <c r="X63" i="7"/>
  <c r="X64" i="7"/>
  <c r="AO33" i="5"/>
  <c r="W3" i="5"/>
  <c r="V3" i="5"/>
  <c r="W10" i="5" s="1"/>
  <c r="W4" i="5"/>
  <c r="V4" i="5"/>
  <c r="S5" i="5"/>
  <c r="W2" i="5"/>
  <c r="V2" i="5"/>
  <c r="O65" i="7"/>
  <c r="O66" i="7"/>
  <c r="T66" i="7"/>
  <c r="S66" i="7"/>
  <c r="W6" i="5" l="1"/>
  <c r="AF68" i="7"/>
  <c r="AE68" i="7"/>
  <c r="X65" i="7"/>
  <c r="X67" i="7" s="1"/>
  <c r="W14" i="5"/>
  <c r="A67" i="7" l="1"/>
  <c r="A63" i="7"/>
  <c r="Y73" i="7"/>
  <c r="Y67" i="7"/>
  <c r="Z67" i="7"/>
  <c r="A61" i="7" l="1"/>
  <c r="Y75" i="7"/>
  <c r="Y74" i="7"/>
  <c r="A54" i="7"/>
  <c r="AA74" i="7" l="1"/>
  <c r="AB74" i="7"/>
  <c r="Q92" i="7" l="1"/>
  <c r="Q91" i="7"/>
  <c r="Q90" i="7"/>
  <c r="P91" i="7"/>
  <c r="P90" i="7"/>
  <c r="P92" i="7"/>
  <c r="R92" i="7" s="1"/>
  <c r="S92" i="7" s="1"/>
  <c r="L2" i="7" l="1"/>
  <c r="L4" i="7"/>
  <c r="R91" i="7"/>
  <c r="T91" i="7" s="1"/>
  <c r="S13" i="7" s="1"/>
  <c r="S12" i="7" s="1"/>
  <c r="R9" i="7"/>
  <c r="T92" i="7"/>
  <c r="S9" i="7" s="1"/>
  <c r="S8" i="7" s="1"/>
  <c r="R90" i="7"/>
  <c r="T90" i="7" s="1"/>
  <c r="S5" i="7" s="1"/>
  <c r="S4" i="7" s="1"/>
  <c r="L3" i="7"/>
  <c r="R8" i="7" l="1"/>
  <c r="W3" i="7" s="1"/>
  <c r="S91" i="7"/>
  <c r="S37" i="7" s="1"/>
  <c r="U37" i="7" s="1"/>
  <c r="F36" i="7" s="1"/>
  <c r="N4" i="7"/>
  <c r="S90" i="7"/>
  <c r="W37" i="7" l="1"/>
  <c r="Z37" i="7" s="1"/>
  <c r="F46" i="7" s="1"/>
  <c r="X3" i="7"/>
  <c r="W10" i="7" s="1"/>
  <c r="R10" i="7"/>
  <c r="R13" i="7"/>
  <c r="S36" i="7" s="1"/>
  <c r="N3" i="7"/>
  <c r="R5" i="7"/>
  <c r="W33" i="7" s="1"/>
  <c r="N2" i="7"/>
  <c r="J45" i="4"/>
  <c r="J47" i="4"/>
  <c r="J46" i="4"/>
  <c r="W9" i="7" l="1"/>
  <c r="Y9" i="7" s="1"/>
  <c r="X37" i="7"/>
  <c r="F41" i="7" s="1"/>
  <c r="R12" i="7"/>
  <c r="W4" i="7" s="1"/>
  <c r="W36" i="7"/>
  <c r="X36" i="7" s="1"/>
  <c r="F40" i="7" s="1"/>
  <c r="U36" i="7"/>
  <c r="F33" i="7" s="1"/>
  <c r="R14" i="7"/>
  <c r="X4" i="7"/>
  <c r="X33" i="7"/>
  <c r="R4" i="7"/>
  <c r="O19" i="4"/>
  <c r="N19" i="4"/>
  <c r="N54" i="4"/>
  <c r="O54" i="4"/>
  <c r="Q63" i="4" s="1"/>
  <c r="O53" i="4"/>
  <c r="Q62" i="4" s="1"/>
  <c r="O52" i="4"/>
  <c r="Q61" i="4" s="1"/>
  <c r="N53" i="4"/>
  <c r="N52" i="4"/>
  <c r="X9" i="7" l="1"/>
  <c r="A39" i="7" s="1"/>
  <c r="Z36" i="7"/>
  <c r="F45" i="7" s="1"/>
  <c r="W13" i="7"/>
  <c r="Z33" i="7"/>
  <c r="F44" i="7" s="1"/>
  <c r="U33" i="7"/>
  <c r="R6" i="7"/>
  <c r="X2" i="7"/>
  <c r="W2" i="7"/>
  <c r="F38" i="7"/>
  <c r="X38" i="7"/>
  <c r="I36" i="7" s="1"/>
  <c r="W14" i="7"/>
  <c r="Q53" i="4"/>
  <c r="P53" i="4"/>
  <c r="P54" i="4"/>
  <c r="Q52" i="4"/>
  <c r="P52" i="4"/>
  <c r="N55" i="4"/>
  <c r="Q54" i="4"/>
  <c r="R53" i="4" l="1"/>
  <c r="R54" i="4"/>
  <c r="R52" i="4"/>
  <c r="W5" i="7"/>
  <c r="Y5" i="7" s="1"/>
  <c r="X13" i="7"/>
  <c r="Y13" i="7"/>
  <c r="A38" i="7"/>
  <c r="A42" i="7"/>
  <c r="U38" i="7"/>
  <c r="F32" i="7"/>
  <c r="W6" i="7"/>
  <c r="A33" i="7" s="1"/>
  <c r="N61" i="4"/>
  <c r="R67" i="4" s="1"/>
  <c r="N59" i="4"/>
  <c r="E6" i="1"/>
  <c r="A43" i="7" l="1"/>
  <c r="Y64" i="4"/>
  <c r="Y66" i="4" s="1"/>
  <c r="A46" i="7"/>
  <c r="B44" i="7"/>
  <c r="C46" i="7" s="1"/>
  <c r="X5" i="7"/>
  <c r="A34" i="7" s="1"/>
  <c r="I32" i="7"/>
  <c r="I38" i="7"/>
  <c r="N62" i="4"/>
  <c r="Q69" i="4" s="1"/>
  <c r="Q67" i="4"/>
  <c r="N63" i="4"/>
  <c r="R69" i="4" s="1"/>
  <c r="Z38" i="5"/>
  <c r="Y38" i="5"/>
  <c r="Z37" i="5"/>
  <c r="Y37" i="5"/>
  <c r="Z36" i="5"/>
  <c r="Y36" i="5"/>
  <c r="I20" i="5"/>
  <c r="H23" i="5"/>
  <c r="S13" i="5"/>
  <c r="R14" i="5" s="1"/>
  <c r="S9" i="5"/>
  <c r="R10" i="5" s="1"/>
  <c r="M43" i="5"/>
  <c r="M38" i="5"/>
  <c r="L38" i="5"/>
  <c r="K18" i="5"/>
  <c r="N18" i="5"/>
  <c r="C18" i="5"/>
  <c r="F18" i="5"/>
  <c r="A67" i="4" l="1"/>
  <c r="Y65" i="4"/>
  <c r="A64" i="4" s="1"/>
  <c r="B46" i="7"/>
  <c r="A47" i="7" s="1"/>
  <c r="I46" i="4"/>
  <c r="I45" i="4"/>
  <c r="I47" i="4"/>
  <c r="Y42" i="5"/>
  <c r="Z42" i="5"/>
  <c r="F33" i="5"/>
  <c r="Y43" i="5"/>
  <c r="Z43" i="5"/>
  <c r="Y44" i="5"/>
  <c r="Z44" i="5"/>
  <c r="F38" i="5"/>
  <c r="F41" i="5"/>
  <c r="R5" i="4"/>
  <c r="Q5" i="4"/>
  <c r="M33" i="4"/>
  <c r="M34" i="4" s="1"/>
  <c r="L33" i="4"/>
  <c r="AC38" i="5" l="1"/>
  <c r="Q6" i="4"/>
  <c r="A33" i="4" s="1"/>
  <c r="Q4" i="4"/>
  <c r="U2" i="4"/>
  <c r="V2" i="4"/>
  <c r="AO44" i="5"/>
  <c r="AO43" i="5"/>
  <c r="Z144" i="5"/>
  <c r="AO42" i="5"/>
  <c r="Y144" i="5"/>
  <c r="L45" i="4"/>
  <c r="K45" i="4"/>
  <c r="P61" i="4"/>
  <c r="L47" i="4"/>
  <c r="K47" i="4"/>
  <c r="P63" i="4"/>
  <c r="K46" i="4"/>
  <c r="P62" i="4"/>
  <c r="L46" i="4"/>
  <c r="AC37" i="5"/>
  <c r="AD37" i="5"/>
  <c r="AD38" i="5"/>
  <c r="AD36" i="5"/>
  <c r="AC36" i="5"/>
  <c r="F32" i="5"/>
  <c r="F45" i="5"/>
  <c r="V36" i="5"/>
  <c r="F46" i="5" s="1"/>
  <c r="R38" i="5"/>
  <c r="R144" i="5" s="1"/>
  <c r="V37" i="5"/>
  <c r="F36" i="5"/>
  <c r="F42" i="5"/>
  <c r="T38" i="5"/>
  <c r="N34" i="4"/>
  <c r="O34" i="4"/>
  <c r="L34" i="4"/>
  <c r="B21" i="4"/>
  <c r="E21" i="4"/>
  <c r="N35" i="4" l="1"/>
  <c r="AE38" i="5"/>
  <c r="AG38" i="5" s="1"/>
  <c r="AE37" i="5"/>
  <c r="AF37" i="5" s="1"/>
  <c r="AE36" i="5"/>
  <c r="I36" i="5"/>
  <c r="T144" i="5"/>
  <c r="AD144" i="5"/>
  <c r="AC144" i="5"/>
  <c r="R63" i="4"/>
  <c r="S63" i="4"/>
  <c r="R61" i="4"/>
  <c r="S61" i="4"/>
  <c r="R62" i="4"/>
  <c r="S62" i="4"/>
  <c r="AS37" i="5"/>
  <c r="I32" i="5"/>
  <c r="V38" i="5"/>
  <c r="AU37" i="5"/>
  <c r="AS38" i="5"/>
  <c r="A39" i="5" s="1"/>
  <c r="AW36" i="5"/>
  <c r="A34" i="5" s="1"/>
  <c r="AU36" i="5"/>
  <c r="AS36" i="5"/>
  <c r="AU38" i="5"/>
  <c r="F47" i="5"/>
  <c r="F10" i="4"/>
  <c r="F21" i="4"/>
  <c r="B22" i="4"/>
  <c r="AG37" i="5" l="1"/>
  <c r="AH37" i="5" s="1"/>
  <c r="AJ37" i="5" s="1"/>
  <c r="AF38" i="5"/>
  <c r="AH38" i="5" s="1"/>
  <c r="AJ38" i="5" s="1"/>
  <c r="AF36" i="5"/>
  <c r="AG36" i="5"/>
  <c r="W62" i="4"/>
  <c r="W61" i="4"/>
  <c r="W63" i="4"/>
  <c r="I38" i="5"/>
  <c r="V144" i="5"/>
  <c r="O67" i="4"/>
  <c r="P67" i="4"/>
  <c r="A44" i="5"/>
  <c r="L39" i="4"/>
  <c r="L36" i="4"/>
  <c r="M36" i="4"/>
  <c r="M37" i="4" s="1"/>
  <c r="M39" i="4"/>
  <c r="M40" i="4" s="1"/>
  <c r="T19" i="1"/>
  <c r="T21" i="1" s="1"/>
  <c r="Q6" i="1"/>
  <c r="S6" i="1"/>
  <c r="T6" i="1" s="1"/>
  <c r="K6" i="1" s="1"/>
  <c r="J31" i="3"/>
  <c r="J32" i="3" s="1"/>
  <c r="I25" i="3" s="1"/>
  <c r="I31" i="3"/>
  <c r="I32" i="3" s="1"/>
  <c r="G16" i="3"/>
  <c r="H16" i="3"/>
  <c r="K16" i="3"/>
  <c r="I19" i="3" s="1"/>
  <c r="C18" i="3"/>
  <c r="F4" i="2"/>
  <c r="AF144" i="5" l="1"/>
  <c r="AH36" i="5"/>
  <c r="AN36" i="5" s="1"/>
  <c r="AG144" i="5"/>
  <c r="AO144" i="5" s="1"/>
  <c r="W64" i="4"/>
  <c r="AN37" i="5"/>
  <c r="AO37" i="5" s="1"/>
  <c r="AN38" i="5"/>
  <c r="AO38" i="5" s="1"/>
  <c r="P69" i="4"/>
  <c r="Q71" i="4" s="1"/>
  <c r="O69" i="4"/>
  <c r="A38" i="5"/>
  <c r="L37" i="4"/>
  <c r="O37" i="4"/>
  <c r="N37" i="4"/>
  <c r="L40" i="4"/>
  <c r="O40" i="4"/>
  <c r="N40" i="4"/>
  <c r="I16" i="3"/>
  <c r="H19" i="3" s="1"/>
  <c r="I8" i="3" s="1"/>
  <c r="R15" i="2"/>
  <c r="Q15" i="2"/>
  <c r="Q17" i="2" s="1"/>
  <c r="K15" i="2"/>
  <c r="F15" i="2"/>
  <c r="K4" i="2"/>
  <c r="R3" i="2"/>
  <c r="Q3" i="2"/>
  <c r="Q5" i="2" s="1"/>
  <c r="AQ36" i="5" l="1"/>
  <c r="A33" i="5" s="1"/>
  <c r="N41" i="4"/>
  <c r="W65" i="4"/>
  <c r="V71" i="4" s="1"/>
  <c r="V73" i="4"/>
  <c r="AJ36" i="5"/>
  <c r="AO36" i="5" s="1"/>
  <c r="W66" i="4"/>
  <c r="A60" i="4"/>
  <c r="N38" i="4"/>
  <c r="A43" i="5"/>
  <c r="P71" i="4"/>
  <c r="P73" i="4" s="1"/>
  <c r="N43" i="4"/>
  <c r="O43" i="4"/>
  <c r="N14" i="2"/>
  <c r="N3" i="2"/>
  <c r="E19" i="1"/>
  <c r="R19" i="1"/>
  <c r="Q19" i="1"/>
  <c r="R6" i="1"/>
  <c r="M6" i="1" s="1"/>
  <c r="Q44" i="4" l="1"/>
  <c r="Y85" i="4"/>
  <c r="Y87" i="4"/>
  <c r="Y86" i="4"/>
  <c r="A58" i="4"/>
  <c r="V72" i="4"/>
  <c r="A51" i="4"/>
  <c r="Q73" i="4"/>
  <c r="O44" i="4"/>
  <c r="O45" i="4" s="1"/>
  <c r="N44" i="4"/>
  <c r="N45" i="4" s="1"/>
  <c r="O6" i="1"/>
  <c r="R3" i="4" l="1"/>
  <c r="R4" i="4"/>
  <c r="Q46" i="4"/>
  <c r="AE87" i="4"/>
  <c r="AD87" i="4"/>
  <c r="AD86" i="4"/>
  <c r="AE86" i="4"/>
  <c r="R2" i="4"/>
  <c r="AE85" i="4"/>
  <c r="AD85" i="4"/>
  <c r="R46" i="4"/>
  <c r="A43" i="4" l="1"/>
  <c r="R13" i="4"/>
  <c r="R12" i="4" s="1"/>
  <c r="R9" i="4"/>
  <c r="R8" i="4" s="1"/>
  <c r="T3" i="4"/>
  <c r="Q9" i="4"/>
  <c r="Q8" i="4" s="1"/>
  <c r="T4" i="4"/>
  <c r="T2" i="4"/>
  <c r="T21" i="4"/>
  <c r="V33" i="4" s="1"/>
  <c r="W33" i="4" s="1"/>
  <c r="F36" i="4" s="1"/>
  <c r="Q13" i="4"/>
  <c r="R34" i="4" s="1"/>
  <c r="V34" i="4" l="1"/>
  <c r="R35" i="4"/>
  <c r="T35" i="4" s="1"/>
  <c r="F34" i="4" s="1"/>
  <c r="V35" i="4"/>
  <c r="W35" i="4" s="1"/>
  <c r="F38" i="4" s="1"/>
  <c r="R33" i="4"/>
  <c r="U21" i="4"/>
  <c r="Q10" i="4"/>
  <c r="A39" i="4" s="1"/>
  <c r="V3" i="4"/>
  <c r="U3" i="4"/>
  <c r="Q12" i="4"/>
  <c r="W34" i="4"/>
  <c r="V6" i="4"/>
  <c r="Y35" i="4" l="1"/>
  <c r="F43" i="4" s="1"/>
  <c r="T33" i="4"/>
  <c r="F32" i="4" s="1"/>
  <c r="Y33" i="4"/>
  <c r="F41" i="4" s="1"/>
  <c r="V4" i="4"/>
  <c r="U4" i="4"/>
  <c r="Q14" i="4"/>
  <c r="A36" i="4" s="1"/>
  <c r="T34" i="4"/>
  <c r="Y34" i="4"/>
  <c r="F42" i="4" s="1"/>
  <c r="F37" i="4"/>
  <c r="W36" i="4"/>
  <c r="I34" i="4" s="1"/>
  <c r="V10" i="4"/>
  <c r="V14" i="4" l="1"/>
  <c r="F33" i="4"/>
  <c r="T36" i="4"/>
  <c r="I32" i="4" l="1"/>
  <c r="I36" i="4"/>
</calcChain>
</file>

<file path=xl/sharedStrings.xml><?xml version="1.0" encoding="utf-8"?>
<sst xmlns="http://schemas.openxmlformats.org/spreadsheetml/2006/main" count="498" uniqueCount="256">
  <si>
    <t>FORMA BINOMICA</t>
  </si>
  <si>
    <t>COLOCA MODULO</t>
  </si>
  <si>
    <t>FORMA EXPONENCIAL</t>
  </si>
  <si>
    <t>PARTE REAL</t>
  </si>
  <si>
    <t>PARTE IMAGINARIA</t>
  </si>
  <si>
    <t>DE</t>
  </si>
  <si>
    <t>A</t>
  </si>
  <si>
    <t>(NO MIRAR)</t>
  </si>
  <si>
    <t>COLOCA PARTE REAL</t>
  </si>
  <si>
    <t>MODULO</t>
  </si>
  <si>
    <t>ANGULO</t>
  </si>
  <si>
    <t>RESULTADO</t>
  </si>
  <si>
    <t>COLOCA PARTE IMAGINARIA (SIN J)</t>
  </si>
  <si>
    <t>ESTAS COLOCANDO:</t>
  </si>
  <si>
    <t>ESTAS COLOCANDO</t>
  </si>
  <si>
    <t>COLOCA VALOR DE TENSION</t>
  </si>
  <si>
    <t>COLOCA VALOR DE IMPEDANCIA</t>
  </si>
  <si>
    <t>ANGULO(º)</t>
  </si>
  <si>
    <t>CALCULO DE  CORRIENTE</t>
  </si>
  <si>
    <t>aux modulo</t>
  </si>
  <si>
    <t>aux angulo</t>
  </si>
  <si>
    <t>TU TENSION ES:</t>
  </si>
  <si>
    <t>TU IMPEDANCIA ES:</t>
  </si>
  <si>
    <t>CALCULO DE  IMPEDANCIA</t>
  </si>
  <si>
    <t>COLOCA VALOR DE CORRIENTE</t>
  </si>
  <si>
    <t>TU CORRIENTE ES:</t>
  </si>
  <si>
    <t>aux mod</t>
  </si>
  <si>
    <t>COLOCA MAGNITUD</t>
  </si>
  <si>
    <t>aux parte real</t>
  </si>
  <si>
    <t>aux parte imaginaria</t>
  </si>
  <si>
    <t>aux real 1</t>
  </si>
  <si>
    <t>aux real 2</t>
  </si>
  <si>
    <t>SUMA</t>
  </si>
  <si>
    <t>RESTA</t>
  </si>
  <si>
    <t>aux ima</t>
  </si>
  <si>
    <t>aux real</t>
  </si>
  <si>
    <t>ang</t>
  </si>
  <si>
    <t>ANGULO(SOLO EL NUM)</t>
  </si>
  <si>
    <t>COLOCA ANGULO(SOLO EL NUM)</t>
  </si>
  <si>
    <t>a</t>
  </si>
  <si>
    <t>COLOCA SECUENCIA</t>
  </si>
  <si>
    <t>z2</t>
  </si>
  <si>
    <t>z3</t>
  </si>
  <si>
    <t>z1</t>
  </si>
  <si>
    <t>Ineutro</t>
  </si>
  <si>
    <t>¿SISTEMA PERFECTO?</t>
  </si>
  <si>
    <t>RESULTADOS</t>
  </si>
  <si>
    <t>Corrientes de linea</t>
  </si>
  <si>
    <t>Ir</t>
  </si>
  <si>
    <t>It</t>
  </si>
  <si>
    <t>Is</t>
  </si>
  <si>
    <t>si</t>
  </si>
  <si>
    <t>expo</t>
  </si>
  <si>
    <t>bino</t>
  </si>
  <si>
    <t>real</t>
  </si>
  <si>
    <t>ima</t>
  </si>
  <si>
    <t>real neutro</t>
  </si>
  <si>
    <t>ima neutro</t>
  </si>
  <si>
    <t>auxiliar</t>
  </si>
  <si>
    <t>Potencias de fase</t>
  </si>
  <si>
    <t>Potencias trifasicas</t>
  </si>
  <si>
    <t>en z1</t>
  </si>
  <si>
    <t>en z2</t>
  </si>
  <si>
    <t>en z3</t>
  </si>
  <si>
    <t>potencias P</t>
  </si>
  <si>
    <t>redondeado potencias P</t>
  </si>
  <si>
    <t>red. pot. Q</t>
  </si>
  <si>
    <t>total</t>
  </si>
  <si>
    <t>potencia s</t>
  </si>
  <si>
    <t>¿CARGA EQUILIBRADA?</t>
  </si>
  <si>
    <t>COLOCA VALOR VLINEA</t>
  </si>
  <si>
    <t>aux pasado fbinomica</t>
  </si>
  <si>
    <t>parte real</t>
  </si>
  <si>
    <t>parte ima</t>
  </si>
  <si>
    <t>para:</t>
  </si>
  <si>
    <t>parte imaginaria</t>
  </si>
  <si>
    <t>redondear mod</t>
  </si>
  <si>
    <t>resultado</t>
  </si>
  <si>
    <t>red. Ang</t>
  </si>
  <si>
    <t>corrientes en impedancias</t>
  </si>
  <si>
    <t>trifasica</t>
  </si>
  <si>
    <t>potencias Q</t>
  </si>
  <si>
    <t>potencias S</t>
  </si>
  <si>
    <t>em z2</t>
  </si>
  <si>
    <t>COLOQUE EL TIPO DE SISTEMA</t>
  </si>
  <si>
    <t>¿ES NECESARIO CALCULAR  Von?</t>
  </si>
  <si>
    <t>AUX Von</t>
  </si>
  <si>
    <t>yz1</t>
  </si>
  <si>
    <t>yz2</t>
  </si>
  <si>
    <t>yz3</t>
  </si>
  <si>
    <t>modulo</t>
  </si>
  <si>
    <t>angulo</t>
  </si>
  <si>
    <t>denominador Von</t>
  </si>
  <si>
    <t>yz0</t>
  </si>
  <si>
    <t>z0</t>
  </si>
  <si>
    <t>voltaje fase</t>
  </si>
  <si>
    <t>van</t>
  </si>
  <si>
    <t>vbn</t>
  </si>
  <si>
    <t>vcn</t>
  </si>
  <si>
    <t>indirecta</t>
  </si>
  <si>
    <t>p. real</t>
  </si>
  <si>
    <t>p, ima</t>
  </si>
  <si>
    <t>p.real</t>
  </si>
  <si>
    <t>p.ima</t>
  </si>
  <si>
    <t>numerador  Von</t>
  </si>
  <si>
    <t>ean*ya</t>
  </si>
  <si>
    <t>ebn*yb</t>
  </si>
  <si>
    <t>ecn^yc</t>
  </si>
  <si>
    <t>numerador von</t>
  </si>
  <si>
    <t>denominador von</t>
  </si>
  <si>
    <t>para z1</t>
  </si>
  <si>
    <t>para z2</t>
  </si>
  <si>
    <t>para z3</t>
  </si>
  <si>
    <t>von</t>
  </si>
  <si>
    <t>angulos</t>
  </si>
  <si>
    <t>ensayo en vacio</t>
  </si>
  <si>
    <t>ensayo en corto circuito</t>
  </si>
  <si>
    <t>cos(angulo)</t>
  </si>
  <si>
    <t>Coloque Pcc (W)</t>
  </si>
  <si>
    <t>Coloque Ucc (V)</t>
  </si>
  <si>
    <t>Coloque Icc (A)</t>
  </si>
  <si>
    <t>Zcc</t>
  </si>
  <si>
    <t>bt</t>
  </si>
  <si>
    <t>alta tension</t>
  </si>
  <si>
    <t>baja tension</t>
  </si>
  <si>
    <t>Xequi.</t>
  </si>
  <si>
    <t>Requi.</t>
  </si>
  <si>
    <t>Coloca Factor a</t>
  </si>
  <si>
    <t>DATOS</t>
  </si>
  <si>
    <t>Coloque Po</t>
  </si>
  <si>
    <t>Coloque Uo</t>
  </si>
  <si>
    <t>Coloque Io</t>
  </si>
  <si>
    <t>Rp</t>
  </si>
  <si>
    <t>Xm</t>
  </si>
  <si>
    <t>Ip</t>
  </si>
  <si>
    <t>Im</t>
  </si>
  <si>
    <t>Regulacion</t>
  </si>
  <si>
    <t xml:space="preserve">Coloque tipo de carga </t>
  </si>
  <si>
    <t>Coloque el coseno de fi</t>
  </si>
  <si>
    <t>Angulo</t>
  </si>
  <si>
    <t>U2 de la carga</t>
  </si>
  <si>
    <t>Coloque porcentaje que demanda la Q relacionado a I (sin %)</t>
  </si>
  <si>
    <t>I resultante</t>
  </si>
  <si>
    <t>Rendimiento</t>
  </si>
  <si>
    <t>COLOQUE QUE DESEA CALCULAR</t>
  </si>
  <si>
    <t>Pcobre</t>
  </si>
  <si>
    <t>I resultante de la carga</t>
  </si>
  <si>
    <t>Coloque cos de fi</t>
  </si>
  <si>
    <t>Coloque Vnominal</t>
  </si>
  <si>
    <t>U de la carga</t>
  </si>
  <si>
    <t>rendimiento maximo</t>
  </si>
  <si>
    <t>U2 max</t>
  </si>
  <si>
    <t>cos fi</t>
  </si>
  <si>
    <t>En caso de tener, coloque la Sn</t>
  </si>
  <si>
    <t>En caso de tener, Inominal</t>
  </si>
  <si>
    <t>Coloque la Xequi.(ohm)</t>
  </si>
  <si>
    <t>Coloque la Requi.(ohm)</t>
  </si>
  <si>
    <t>Coloque la Unominal o Uvacio o Uo(V)</t>
  </si>
  <si>
    <t>Coloque Po(hierro)(W)</t>
  </si>
  <si>
    <t>I max(A)</t>
  </si>
  <si>
    <t>Coloque Vnominal(V)</t>
  </si>
  <si>
    <t>En caso de tener, Coloque la Inominal(A)</t>
  </si>
  <si>
    <t>En caso de tener, Coloque la Sn(VA)</t>
  </si>
  <si>
    <t>In1</t>
  </si>
  <si>
    <t>In2</t>
  </si>
  <si>
    <t>colocar Sn(VA)</t>
  </si>
  <si>
    <t>lado</t>
  </si>
  <si>
    <t>Requival.(AT)</t>
  </si>
  <si>
    <t>Xequival.(AT)</t>
  </si>
  <si>
    <t>at</t>
  </si>
  <si>
    <t>ME LO DICE EL EJERCICIO ( ME DICE EN AT O BT)</t>
  </si>
  <si>
    <t>TUS DATOS SON DE:</t>
  </si>
  <si>
    <t>Coloque Vn1 o Vat</t>
  </si>
  <si>
    <t>Coloque Vn2 o Vbt</t>
  </si>
  <si>
    <t>Colocar Vn1 o Vat</t>
  </si>
  <si>
    <t>Colocar Vn2 o Vbt</t>
  </si>
  <si>
    <t>LOS DATOS SON DEL ENSAYO VACIO?</t>
  </si>
  <si>
    <t>Coloque donde se aplica la carga (at o bt)</t>
  </si>
  <si>
    <t>x</t>
  </si>
  <si>
    <t>r</t>
  </si>
  <si>
    <t>LOS DATOS SON DE ENSAYO CC?</t>
  </si>
  <si>
    <t xml:space="preserve">Coloque donde se aplica la carga </t>
  </si>
  <si>
    <t>Coloque Po(hierro)W</t>
  </si>
  <si>
    <t>(ensayo en corto circuito)</t>
  </si>
  <si>
    <t>(ensayo en vacio)</t>
  </si>
  <si>
    <t>COLOQUE Sn (VA)</t>
  </si>
  <si>
    <t>LOS DATOS SON DEL ENSAYO CC?</t>
  </si>
  <si>
    <t>Coloque la demanda de la Q (sin %)</t>
  </si>
  <si>
    <t>no</t>
  </si>
  <si>
    <t>Iz3-Iz1</t>
  </si>
  <si>
    <t>Iz1-Iz2</t>
  </si>
  <si>
    <t>Iz2-Iz3</t>
  </si>
  <si>
    <t xml:space="preserve">V DE LINEA </t>
  </si>
  <si>
    <t>V DE FASE</t>
  </si>
  <si>
    <t>G</t>
  </si>
  <si>
    <t>directa</t>
  </si>
  <si>
    <t>trifilar</t>
  </si>
  <si>
    <t>Rpat.</t>
  </si>
  <si>
    <t>n</t>
  </si>
  <si>
    <t>o</t>
  </si>
  <si>
    <t>ean-von</t>
  </si>
  <si>
    <t>uao</t>
  </si>
  <si>
    <t>ubo</t>
  </si>
  <si>
    <t>uco</t>
  </si>
  <si>
    <t>ecn-von</t>
  </si>
  <si>
    <t>ebn-vno</t>
  </si>
  <si>
    <t>c</t>
  </si>
  <si>
    <t>b</t>
  </si>
  <si>
    <t>parte imag</t>
  </si>
  <si>
    <t>TENER CUIDADO QUE LA COMPARACION SEA ENTRE Nº EXACTOS</t>
  </si>
  <si>
    <t>NUMERADOR REAL</t>
  </si>
  <si>
    <t>numero</t>
  </si>
  <si>
    <t>ecn*yc</t>
  </si>
  <si>
    <t>numerador</t>
  </si>
  <si>
    <t>denominador</t>
  </si>
  <si>
    <t>DENOMINADOR REAL</t>
  </si>
  <si>
    <t>ya</t>
  </si>
  <si>
    <t>yb</t>
  </si>
  <si>
    <t>yc</t>
  </si>
  <si>
    <t>yRpa</t>
  </si>
  <si>
    <t>TOTAL</t>
  </si>
  <si>
    <t>VON TOTAL</t>
  </si>
  <si>
    <t>resultado in</t>
  </si>
  <si>
    <t>-</t>
  </si>
  <si>
    <t>COLOQUE DONDE SE APLICA LA CARGA (at o bt)</t>
  </si>
  <si>
    <t>mod</t>
  </si>
  <si>
    <t>z3 o Zc</t>
  </si>
  <si>
    <t>z2 o Zb</t>
  </si>
  <si>
    <t>z1 o Za</t>
  </si>
  <si>
    <t>z2 o Zbc</t>
  </si>
  <si>
    <t>eao</t>
  </si>
  <si>
    <t>ebo</t>
  </si>
  <si>
    <t>eco</t>
  </si>
  <si>
    <t>ean-evo</t>
  </si>
  <si>
    <t>ebn-evo</t>
  </si>
  <si>
    <t>ecn.eco</t>
  </si>
  <si>
    <t>auxiliares caso de la tension</t>
  </si>
  <si>
    <t>vao</t>
  </si>
  <si>
    <t>dir</t>
  </si>
  <si>
    <t>ind</t>
  </si>
  <si>
    <t>vbo</t>
  </si>
  <si>
    <t>vco</t>
  </si>
  <si>
    <t>z1 o Zac</t>
  </si>
  <si>
    <t>z3 o Zab</t>
  </si>
  <si>
    <t>Iac o Iz1</t>
  </si>
  <si>
    <t>Iz2 o Ibc</t>
  </si>
  <si>
    <t>Iz3 o Iba</t>
  </si>
  <si>
    <t>tetrafilar</t>
  </si>
  <si>
    <t>TRANSFORMADOR IDEAL</t>
  </si>
  <si>
    <t>TRANSFORMADOR NUCLEO IDEAL, ARROLLAMIENTOS REALES</t>
  </si>
  <si>
    <t>PERDIDAS EN MATERIAL</t>
  </si>
  <si>
    <t>PERDIDAS POR EFECTO JOULE</t>
  </si>
  <si>
    <t>TRANSFORMADOR REAL</t>
  </si>
  <si>
    <t>EN TRIANGULO:                                                                                                                                                                                                                                                                                                                                          VLINEA = VDECARGA O VDEFASE                                                                                                                                                                                                                                                                                                                ILINEA = RAIZ(3)*IFASE(o de carga)</t>
  </si>
  <si>
    <t>EN ESTRELLA:                                                                                                                                                                                                                                                                                                                                            VLINEA = RAIZ(3)*VFASE(o de carga)                                                                                                                                                                                                                                                                                            ILINEA = IFASE(o de carga)                                                                                                                                                                                                                                                                                                                   Ptri. = RAIZ(3)*Ulin.*Ilin.*cos(fi),                                                                                                                                                                                                                                                                                              Stri.=RAIZ(3)*Ulin.*Ilin.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</si>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</sst>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0.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ourier New"/>
      <family val="3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rgb="FF00B0F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4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sz val="11"/>
      <color rgb="FF00B05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0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4" fillId="0" borderId="0" xfId="0" applyFont="1"/>
    <xf numFmtId="0" fontId="3" fillId="0" borderId="0" xfId="0" applyFont="1" applyFill="1"/>
    <xf numFmtId="0" fontId="0" fillId="0" borderId="0" xfId="0" applyFont="1"/>
    <xf numFmtId="0" fontId="0" fillId="0" borderId="0" xfId="0" applyFont="1" applyAlignment="1">
      <alignment wrapText="1"/>
    </xf>
    <xf numFmtId="164" fontId="3" fillId="0" borderId="0" xfId="0" applyNumberFormat="1" applyFont="1"/>
    <xf numFmtId="164" fontId="3" fillId="4" borderId="0" xfId="0" applyNumberFormat="1" applyFont="1" applyFill="1"/>
    <xf numFmtId="0" fontId="3" fillId="0" borderId="0" xfId="0" applyFont="1"/>
    <xf numFmtId="0" fontId="0" fillId="4" borderId="0" xfId="0" applyFont="1" applyFill="1" applyAlignment="1">
      <alignment wrapText="1"/>
    </xf>
    <xf numFmtId="0" fontId="0" fillId="0" borderId="1" xfId="0" applyFont="1" applyBorder="1" applyAlignment="1">
      <alignment wrapText="1"/>
    </xf>
    <xf numFmtId="0" fontId="0" fillId="4" borderId="0" xfId="0" applyFont="1" applyFill="1" applyAlignment="1"/>
    <xf numFmtId="0" fontId="0" fillId="0" borderId="0" xfId="0" applyAlignment="1">
      <alignment horizontal="center" wrapText="1"/>
    </xf>
    <xf numFmtId="0" fontId="0" fillId="0" borderId="0" xfId="0" applyBorder="1" applyAlignment="1">
      <alignment wrapText="1"/>
    </xf>
    <xf numFmtId="0" fontId="0" fillId="6" borderId="0" xfId="0" applyFill="1" applyAlignment="1">
      <alignment wrapText="1"/>
    </xf>
    <xf numFmtId="0" fontId="0" fillId="6" borderId="1" xfId="0" applyFill="1" applyBorder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2" fillId="0" borderId="0" xfId="0" applyFont="1" applyAlignment="1">
      <alignment wrapText="1"/>
    </xf>
    <xf numFmtId="0" fontId="12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0" fillId="0" borderId="0" xfId="0" applyFont="1" applyAlignment="1"/>
    <xf numFmtId="0" fontId="0" fillId="0" borderId="0" xfId="0" applyAlignment="1">
      <alignment horizontal="center" vertical="center"/>
    </xf>
    <xf numFmtId="0" fontId="14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2" borderId="1" xfId="0" applyFill="1" applyBorder="1"/>
    <xf numFmtId="0" fontId="0" fillId="4" borderId="0" xfId="0" applyFill="1"/>
    <xf numFmtId="0" fontId="13" fillId="4" borderId="0" xfId="0" applyFont="1" applyFill="1"/>
    <xf numFmtId="0" fontId="0" fillId="4" borderId="0" xfId="0" applyFill="1" applyBorder="1"/>
    <xf numFmtId="0" fontId="0" fillId="4" borderId="1" xfId="0" applyFill="1" applyBorder="1"/>
    <xf numFmtId="0" fontId="0" fillId="0" borderId="1" xfId="0" applyBorder="1"/>
    <xf numFmtId="0" fontId="2" fillId="0" borderId="0" xfId="0" applyFont="1" applyAlignment="1"/>
    <xf numFmtId="0" fontId="2" fillId="0" borderId="0" xfId="0" applyFont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6" fillId="7" borderId="0" xfId="0" applyFont="1" applyFill="1"/>
    <xf numFmtId="0" fontId="0" fillId="2" borderId="0" xfId="0" applyFill="1"/>
    <xf numFmtId="0" fontId="0" fillId="0" borderId="0" xfId="0" applyAlignment="1"/>
    <xf numFmtId="0" fontId="0" fillId="2" borderId="1" xfId="0" applyFont="1" applyFill="1" applyBorder="1"/>
    <xf numFmtId="0" fontId="13" fillId="0" borderId="0" xfId="0" applyFont="1"/>
    <xf numFmtId="0" fontId="17" fillId="4" borderId="0" xfId="0" applyFont="1" applyFill="1"/>
    <xf numFmtId="0" fontId="13" fillId="4" borderId="0" xfId="0" applyFont="1" applyFill="1" applyAlignment="1">
      <alignment horizontal="left" vertical="top"/>
    </xf>
    <xf numFmtId="0" fontId="0" fillId="4" borderId="0" xfId="0" applyFont="1" applyFill="1" applyAlignment="1">
      <alignment horizontal="right"/>
    </xf>
    <xf numFmtId="0" fontId="0" fillId="4" borderId="0" xfId="0" applyFont="1" applyFill="1" applyAlignment="1">
      <alignment vertical="top"/>
    </xf>
    <xf numFmtId="0" fontId="0" fillId="4" borderId="0" xfId="0" applyFont="1" applyFill="1" applyAlignment="1">
      <alignment horizontal="center"/>
    </xf>
    <xf numFmtId="0" fontId="0" fillId="4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4" borderId="0" xfId="0" applyFont="1" applyFill="1" applyAlignment="1">
      <alignment horizontal="center" vertical="top"/>
    </xf>
    <xf numFmtId="0" fontId="0" fillId="4" borderId="0" xfId="0" applyFill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/>
    <xf numFmtId="0" fontId="3" fillId="4" borderId="0" xfId="0" applyFont="1" applyFill="1"/>
    <xf numFmtId="0" fontId="0" fillId="0" borderId="0" xfId="0" applyBorder="1"/>
    <xf numFmtId="0" fontId="0" fillId="0" borderId="10" xfId="0" applyFont="1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2" fillId="0" borderId="11" xfId="0" applyFont="1" applyBorder="1"/>
    <xf numFmtId="0" fontId="15" fillId="0" borderId="0" xfId="0" applyFont="1"/>
    <xf numFmtId="0" fontId="15" fillId="8" borderId="0" xfId="0" applyFont="1" applyFill="1"/>
    <xf numFmtId="0" fontId="0" fillId="8" borderId="0" xfId="0" applyFont="1" applyFill="1"/>
    <xf numFmtId="0" fontId="5" fillId="0" borderId="0" xfId="0" applyFont="1"/>
    <xf numFmtId="0" fontId="0" fillId="0" borderId="12" xfId="0" applyBorder="1"/>
    <xf numFmtId="0" fontId="18" fillId="0" borderId="0" xfId="0" applyFont="1"/>
    <xf numFmtId="0" fontId="19" fillId="0" borderId="0" xfId="0" applyFont="1"/>
    <xf numFmtId="0" fontId="0" fillId="7" borderId="0" xfId="0" applyFill="1"/>
    <xf numFmtId="0" fontId="0" fillId="7" borderId="0" xfId="0" applyFill="1" applyBorder="1"/>
    <xf numFmtId="0" fontId="0" fillId="0" borderId="6" xfId="0" applyBorder="1"/>
    <xf numFmtId="0" fontId="0" fillId="0" borderId="7" xfId="0" applyBorder="1"/>
    <xf numFmtId="0" fontId="8" fillId="0" borderId="0" xfId="0" applyFont="1"/>
    <xf numFmtId="0" fontId="0" fillId="0" borderId="2" xfId="0" applyBorder="1"/>
    <xf numFmtId="0" fontId="18" fillId="4" borderId="0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left" vertical="center" wrapText="1"/>
    </xf>
    <xf numFmtId="0" fontId="0" fillId="4" borderId="0" xfId="0" applyFill="1" applyBorder="1" applyAlignment="1"/>
    <xf numFmtId="0" fontId="0" fillId="4" borderId="11" xfId="0" applyFill="1" applyBorder="1" applyAlignment="1"/>
    <xf numFmtId="0" fontId="19" fillId="4" borderId="0" xfId="0" applyFont="1" applyFill="1" applyBorder="1" applyAlignment="1">
      <alignment vertical="center"/>
    </xf>
    <xf numFmtId="0" fontId="19" fillId="4" borderId="11" xfId="0" applyFont="1" applyFill="1" applyBorder="1" applyAlignment="1">
      <alignment vertical="center"/>
    </xf>
    <xf numFmtId="0" fontId="19" fillId="4" borderId="7" xfId="0" applyFont="1" applyFill="1" applyBorder="1" applyAlignment="1"/>
    <xf numFmtId="0" fontId="0" fillId="4" borderId="5" xfId="0" applyFill="1" applyBorder="1"/>
    <xf numFmtId="0" fontId="19" fillId="4" borderId="4" xfId="0" applyFont="1" applyFill="1" applyBorder="1" applyAlignment="1">
      <alignment vertical="center"/>
    </xf>
    <xf numFmtId="0" fontId="19" fillId="4" borderId="7" xfId="0" applyFont="1" applyFill="1" applyBorder="1" applyAlignment="1">
      <alignment vertical="center"/>
    </xf>
    <xf numFmtId="0" fontId="0" fillId="0" borderId="5" xfId="0" applyBorder="1" applyAlignment="1">
      <alignment horizontal="center"/>
    </xf>
    <xf numFmtId="0" fontId="19" fillId="4" borderId="0" xfId="0" applyFont="1" applyFill="1" applyBorder="1" applyAlignment="1">
      <alignment vertical="center" wrapText="1"/>
    </xf>
    <xf numFmtId="0" fontId="20" fillId="0" borderId="0" xfId="0" applyFont="1" applyBorder="1" applyAlignment="1"/>
    <xf numFmtId="0" fontId="21" fillId="2" borderId="1" xfId="0" applyFont="1" applyFill="1" applyBorder="1" applyAlignment="1">
      <alignment horizontal="right" wrapText="1"/>
    </xf>
    <xf numFmtId="0" fontId="21" fillId="7" borderId="1" xfId="0" applyFont="1" applyFill="1" applyBorder="1" applyAlignment="1">
      <alignment horizontal="right" wrapText="1"/>
    </xf>
    <xf numFmtId="0" fontId="15" fillId="9" borderId="1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7" fillId="0" borderId="1" xfId="0" applyFont="1" applyBorder="1" applyAlignment="1">
      <alignment horizontal="right" wrapText="1"/>
    </xf>
    <xf numFmtId="0" fontId="6" fillId="10" borderId="1" xfId="0" applyFont="1" applyFill="1" applyBorder="1" applyAlignment="1">
      <alignment horizontal="center"/>
    </xf>
    <xf numFmtId="0" fontId="8" fillId="8" borderId="0" xfId="0" applyFont="1" applyFill="1"/>
    <xf numFmtId="0" fontId="21" fillId="8" borderId="0" xfId="0" applyFont="1" applyFill="1"/>
    <xf numFmtId="0" fontId="10" fillId="8" borderId="0" xfId="0" applyFont="1" applyFill="1"/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6" fillId="2" borderId="1" xfId="0" applyFont="1" applyFill="1" applyBorder="1"/>
    <xf numFmtId="0" fontId="7" fillId="2" borderId="1" xfId="0" applyFont="1" applyFill="1" applyBorder="1"/>
    <xf numFmtId="0" fontId="6" fillId="2" borderId="1" xfId="0" applyFont="1" applyFill="1" applyBorder="1" applyAlignment="1">
      <alignment wrapText="1"/>
    </xf>
    <xf numFmtId="0" fontId="6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top" wrapText="1"/>
    </xf>
    <xf numFmtId="0" fontId="6" fillId="2" borderId="1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5" fillId="2" borderId="14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vertical="center"/>
    </xf>
    <xf numFmtId="0" fontId="24" fillId="0" borderId="0" xfId="0" applyFont="1"/>
    <xf numFmtId="0" fontId="24" fillId="4" borderId="0" xfId="0" applyFont="1" applyFill="1"/>
    <xf numFmtId="0" fontId="6" fillId="7" borderId="0" xfId="0" applyFont="1" applyFill="1" applyAlignment="1">
      <alignment horizontal="left"/>
    </xf>
    <xf numFmtId="0" fontId="15" fillId="7" borderId="0" xfId="0" applyFont="1" applyFill="1" applyAlignment="1">
      <alignment horizontal="center"/>
    </xf>
    <xf numFmtId="0" fontId="6" fillId="4" borderId="0" xfId="0" applyFont="1" applyFill="1"/>
    <xf numFmtId="0" fontId="3" fillId="4" borderId="0" xfId="0" applyFont="1" applyFill="1" applyAlignment="1"/>
    <xf numFmtId="0" fontId="6" fillId="7" borderId="0" xfId="0" applyFont="1" applyFill="1" applyAlignment="1">
      <alignment horizontal="left"/>
    </xf>
    <xf numFmtId="0" fontId="13" fillId="0" borderId="0" xfId="0" applyFont="1" applyFill="1"/>
    <xf numFmtId="0" fontId="13" fillId="0" borderId="0" xfId="0" applyFont="1" applyBorder="1"/>
    <xf numFmtId="0" fontId="15" fillId="10" borderId="1" xfId="0" applyFont="1" applyFill="1" applyBorder="1" applyAlignment="1">
      <alignment horizontal="center"/>
    </xf>
    <xf numFmtId="0" fontId="26" fillId="0" borderId="0" xfId="0" applyFont="1"/>
    <xf numFmtId="0" fontId="27" fillId="0" borderId="0" xfId="0" applyFont="1"/>
    <xf numFmtId="0" fontId="28" fillId="4" borderId="0" xfId="0" applyFont="1" applyFill="1"/>
    <xf numFmtId="0" fontId="29" fillId="4" borderId="0" xfId="0" applyFont="1" applyFill="1"/>
    <xf numFmtId="0" fontId="30" fillId="4" borderId="0" xfId="0" applyFont="1" applyFill="1"/>
    <xf numFmtId="0" fontId="15" fillId="7" borderId="0" xfId="0" applyFont="1" applyFill="1" applyAlignment="1">
      <alignment horizontal="center"/>
    </xf>
    <xf numFmtId="0" fontId="6" fillId="7" borderId="0" xfId="0" applyFont="1" applyFill="1" applyAlignment="1">
      <alignment horizontal="left"/>
    </xf>
    <xf numFmtId="0" fontId="19" fillId="10" borderId="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1" fillId="4" borderId="0" xfId="0" applyFont="1" applyFill="1"/>
    <xf numFmtId="0" fontId="8" fillId="7" borderId="0" xfId="0" applyFont="1" applyFill="1"/>
    <xf numFmtId="0" fontId="21" fillId="7" borderId="0" xfId="0" applyFont="1" applyFill="1" applyAlignment="1"/>
    <xf numFmtId="0" fontId="31" fillId="0" borderId="0" xfId="0" applyFont="1"/>
    <xf numFmtId="0" fontId="3" fillId="4" borderId="0" xfId="0" applyFont="1" applyFill="1" applyAlignment="1">
      <alignment horizontal="right"/>
    </xf>
    <xf numFmtId="0" fontId="3" fillId="4" borderId="0" xfId="0" applyFont="1" applyFill="1" applyAlignment="1">
      <alignment wrapText="1"/>
    </xf>
    <xf numFmtId="0" fontId="27" fillId="4" borderId="0" xfId="0" applyFont="1" applyFill="1"/>
    <xf numFmtId="0" fontId="0" fillId="4" borderId="0" xfId="0" applyFont="1" applyFill="1" applyAlignment="1">
      <alignment vertical="center"/>
    </xf>
    <xf numFmtId="0" fontId="21" fillId="7" borderId="0" xfId="0" applyFont="1" applyFill="1"/>
    <xf numFmtId="0" fontId="6" fillId="4" borderId="0" xfId="0" applyFont="1" applyFill="1" applyAlignment="1">
      <alignment horizontal="left"/>
    </xf>
    <xf numFmtId="0" fontId="24" fillId="0" borderId="0" xfId="0" applyFont="1" applyAlignment="1">
      <alignment horizontal="center" vertical="center" wrapText="1"/>
    </xf>
    <xf numFmtId="0" fontId="24" fillId="0" borderId="0" xfId="0" applyFont="1" applyAlignment="1">
      <alignment wrapText="1"/>
    </xf>
    <xf numFmtId="0" fontId="0" fillId="0" borderId="0" xfId="0" applyAlignment="1">
      <alignment horizontal="right" vertical="center"/>
    </xf>
    <xf numFmtId="0" fontId="6" fillId="7" borderId="0" xfId="0" applyFont="1" applyFill="1" applyAlignment="1">
      <alignment horizontal="center" vertical="center"/>
    </xf>
    <xf numFmtId="0" fontId="32" fillId="0" borderId="0" xfId="0" applyFont="1"/>
    <xf numFmtId="0" fontId="32" fillId="4" borderId="0" xfId="0" applyFont="1" applyFill="1"/>
    <xf numFmtId="0" fontId="32" fillId="4" borderId="0" xfId="0" applyFont="1" applyFill="1" applyAlignment="1">
      <alignment wrapText="1"/>
    </xf>
    <xf numFmtId="0" fontId="15" fillId="7" borderId="0" xfId="0" applyFont="1" applyFill="1" applyAlignment="1">
      <alignment horizontal="center" wrapText="1"/>
    </xf>
    <xf numFmtId="0" fontId="7" fillId="0" borderId="0" xfId="0" applyFont="1"/>
    <xf numFmtId="0" fontId="15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wrapText="1"/>
    </xf>
    <xf numFmtId="0" fontId="20" fillId="0" borderId="0" xfId="0" applyFont="1" applyBorder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33" fillId="7" borderId="0" xfId="0" applyFont="1" applyFill="1" applyAlignment="1">
      <alignment horizontal="center"/>
    </xf>
    <xf numFmtId="0" fontId="34" fillId="4" borderId="0" xfId="0" applyFont="1" applyFill="1"/>
    <xf numFmtId="0" fontId="11" fillId="5" borderId="0" xfId="0" applyFont="1" applyFill="1" applyAlignment="1">
      <alignment horizontal="center" wrapText="1"/>
    </xf>
    <xf numFmtId="0" fontId="10" fillId="2" borderId="0" xfId="0" applyFont="1" applyFill="1" applyAlignment="1">
      <alignment horizontal="center" wrapText="1"/>
    </xf>
    <xf numFmtId="0" fontId="9" fillId="2" borderId="0" xfId="0" applyFont="1" applyFill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3" borderId="0" xfId="0" applyFont="1" applyFill="1" applyAlignment="1">
      <alignment horizontal="center"/>
    </xf>
    <xf numFmtId="0" fontId="0" fillId="2" borderId="0" xfId="0" applyFont="1" applyFill="1" applyAlignment="1">
      <alignment horizontal="center" wrapText="1"/>
    </xf>
    <xf numFmtId="0" fontId="0" fillId="0" borderId="1" xfId="0" applyFont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wrapText="1"/>
    </xf>
    <xf numFmtId="0" fontId="0" fillId="3" borderId="0" xfId="0" applyFont="1" applyFill="1" applyAlignment="1">
      <alignment horizontal="center" wrapText="1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2" borderId="0" xfId="0" applyFont="1" applyFill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wrapText="1"/>
    </xf>
    <xf numFmtId="2" fontId="1" fillId="0" borderId="1" xfId="1" applyNumberFormat="1" applyFont="1" applyBorder="1" applyAlignment="1">
      <alignment horizontal="center" wrapText="1"/>
    </xf>
    <xf numFmtId="164" fontId="0" fillId="0" borderId="1" xfId="0" applyNumberFormat="1" applyFont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wrapText="1"/>
    </xf>
    <xf numFmtId="0" fontId="0" fillId="6" borderId="0" xfId="0" applyFill="1" applyAlignment="1">
      <alignment horizontal="center" wrapText="1"/>
    </xf>
    <xf numFmtId="0" fontId="18" fillId="0" borderId="2" xfId="0" applyFont="1" applyBorder="1" applyAlignment="1">
      <alignment horizontal="center" wrapText="1"/>
    </xf>
    <xf numFmtId="0" fontId="18" fillId="0" borderId="0" xfId="0" applyFont="1" applyBorder="1" applyAlignment="1">
      <alignment horizontal="center" wrapText="1"/>
    </xf>
    <xf numFmtId="0" fontId="9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 wrapText="1"/>
    </xf>
    <xf numFmtId="0" fontId="0" fillId="12" borderId="0" xfId="0" applyFont="1" applyFill="1" applyAlignment="1">
      <alignment horizontal="center" vertical="center" wrapText="1"/>
    </xf>
    <xf numFmtId="0" fontId="6" fillId="7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3" fillId="4" borderId="0" xfId="0" applyFont="1" applyFill="1" applyAlignment="1">
      <alignment horizontal="center" wrapText="1"/>
    </xf>
    <xf numFmtId="0" fontId="3" fillId="4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15" fillId="10" borderId="8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5" fillId="10" borderId="9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/>
    </xf>
    <xf numFmtId="0" fontId="6" fillId="7" borderId="0" xfId="0" applyFont="1" applyFill="1" applyAlignment="1">
      <alignment horizontal="left"/>
    </xf>
    <xf numFmtId="0" fontId="16" fillId="7" borderId="0" xfId="0" applyFont="1" applyFill="1" applyAlignment="1">
      <alignment horizontal="left"/>
    </xf>
    <xf numFmtId="0" fontId="11" fillId="7" borderId="0" xfId="0" applyFont="1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/>
    </xf>
    <xf numFmtId="0" fontId="19" fillId="10" borderId="8" xfId="0" applyFont="1" applyFill="1" applyBorder="1" applyAlignment="1">
      <alignment horizontal="center"/>
    </xf>
    <xf numFmtId="0" fontId="19" fillId="10" borderId="15" xfId="0" applyFont="1" applyFill="1" applyBorder="1" applyAlignment="1">
      <alignment horizontal="center"/>
    </xf>
    <xf numFmtId="0" fontId="19" fillId="10" borderId="9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9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9" fillId="10" borderId="8" xfId="0" applyFont="1" applyFill="1" applyBorder="1" applyAlignment="1">
      <alignment horizontal="center" vertical="center"/>
    </xf>
    <xf numFmtId="0" fontId="19" fillId="10" borderId="15" xfId="0" applyFont="1" applyFill="1" applyBorder="1" applyAlignment="1">
      <alignment horizontal="center" vertical="center"/>
    </xf>
    <xf numFmtId="0" fontId="19" fillId="10" borderId="9" xfId="0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5" fillId="0" borderId="0" xfId="0" applyFont="1" applyAlignment="1">
      <alignment horizontal="left"/>
    </xf>
    <xf numFmtId="0" fontId="7" fillId="7" borderId="0" xfId="0" applyFont="1" applyFill="1" applyAlignment="1">
      <alignment vertical="center"/>
    </xf>
    <xf numFmtId="0" fontId="15" fillId="2" borderId="1" xfId="0" applyFont="1" applyFill="1" applyBorder="1" applyAlignment="1">
      <alignment horizontal="center" vertical="center" wrapText="1"/>
    </xf>
    <xf numFmtId="0" fontId="0" fillId="9" borderId="1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0" fontId="20" fillId="0" borderId="0" xfId="0" applyFont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6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20" fillId="0" borderId="0" xfId="0" applyFont="1" applyBorder="1" applyAlignment="1">
      <alignment horizontal="left"/>
    </xf>
    <xf numFmtId="0" fontId="10" fillId="8" borderId="0" xfId="0" applyFont="1" applyFill="1" applyAlignment="1">
      <alignment horizontal="left"/>
    </xf>
    <xf numFmtId="0" fontId="20" fillId="0" borderId="15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25" fillId="7" borderId="0" xfId="0" applyFont="1" applyFill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/>
    </xf>
    <xf numFmtId="0" fontId="7" fillId="0" borderId="15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8" fillId="2" borderId="8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7" fillId="9" borderId="8" xfId="0" applyFont="1" applyFill="1" applyBorder="1" applyAlignment="1">
      <alignment horizontal="center"/>
    </xf>
    <xf numFmtId="0" fontId="7" fillId="9" borderId="9" xfId="0" applyFont="1" applyFill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/>
    </xf>
    <xf numFmtId="0" fontId="6" fillId="10" borderId="8" xfId="0" applyFont="1" applyFill="1" applyBorder="1" applyAlignment="1">
      <alignment vertical="center"/>
    </xf>
    <xf numFmtId="0" fontId="6" fillId="10" borderId="9" xfId="0" applyFont="1" applyFill="1" applyBorder="1" applyAlignment="1">
      <alignment vertical="center"/>
    </xf>
    <xf numFmtId="0" fontId="6" fillId="10" borderId="1" xfId="0" applyFont="1" applyFill="1" applyBorder="1" applyAlignment="1">
      <alignment vertical="center"/>
    </xf>
    <xf numFmtId="0" fontId="6" fillId="10" borderId="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 wrapText="1"/>
    </xf>
    <xf numFmtId="0" fontId="19" fillId="2" borderId="1" xfId="0" applyFont="1" applyFill="1" applyBorder="1" applyAlignment="1">
      <alignment horizontal="center" wrapText="1"/>
    </xf>
    <xf numFmtId="0" fontId="0" fillId="4" borderId="14" xfId="0" applyFill="1" applyBorder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wrapText="1"/>
    </xf>
    <xf numFmtId="0" fontId="20" fillId="0" borderId="12" xfId="0" applyFont="1" applyBorder="1" applyAlignment="1">
      <alignment horizontal="center" wrapText="1"/>
    </xf>
    <xf numFmtId="0" fontId="20" fillId="0" borderId="12" xfId="0" applyFont="1" applyBorder="1" applyAlignment="1">
      <alignment horizontal="center"/>
    </xf>
    <xf numFmtId="0" fontId="20" fillId="0" borderId="0" xfId="0" applyFont="1" applyBorder="1" applyAlignment="1">
      <alignment horizontal="center" wrapText="1"/>
    </xf>
    <xf numFmtId="0" fontId="7" fillId="2" borderId="12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/>
    </xf>
    <xf numFmtId="0" fontId="19" fillId="0" borderId="13" xfId="0" applyFont="1" applyBorder="1" applyAlignment="1">
      <alignment horizontal="center" wrapText="1"/>
    </xf>
    <xf numFmtId="0" fontId="19" fillId="0" borderId="16" xfId="0" applyFont="1" applyBorder="1" applyAlignment="1">
      <alignment horizontal="center" wrapText="1"/>
    </xf>
    <xf numFmtId="0" fontId="19" fillId="0" borderId="14" xfId="0" applyFont="1" applyBorder="1" applyAlignment="1">
      <alignment horizontal="center" wrapText="1"/>
    </xf>
    <xf numFmtId="0" fontId="19" fillId="11" borderId="0" xfId="0" applyFont="1" applyFill="1" applyAlignment="1">
      <alignment horizontal="center" vertical="center" wrapText="1"/>
    </xf>
    <xf numFmtId="0" fontId="6" fillId="8" borderId="0" xfId="0" applyFont="1" applyFill="1" applyAlignment="1">
      <alignment horizontal="center"/>
    </xf>
    <xf numFmtId="0" fontId="22" fillId="8" borderId="0" xfId="0" applyFont="1" applyFill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right"/>
    </xf>
    <xf numFmtId="0" fontId="7" fillId="2" borderId="14" xfId="0" applyFont="1" applyFill="1" applyBorder="1" applyAlignment="1">
      <alignment horizontal="right"/>
    </xf>
    <xf numFmtId="0" fontId="11" fillId="7" borderId="0" xfId="0" applyFont="1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image" Target="../media/image60.png"/><Relationship Id="rId18" Type="http://schemas.openxmlformats.org/officeDocument/2006/relationships/image" Target="../media/image65.pn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12" Type="http://schemas.openxmlformats.org/officeDocument/2006/relationships/image" Target="../media/image59.png"/><Relationship Id="rId17" Type="http://schemas.openxmlformats.org/officeDocument/2006/relationships/image" Target="../media/image64.png"/><Relationship Id="rId2" Type="http://schemas.openxmlformats.org/officeDocument/2006/relationships/image" Target="../media/image49.png"/><Relationship Id="rId16" Type="http://schemas.openxmlformats.org/officeDocument/2006/relationships/image" Target="../media/image63.png"/><Relationship Id="rId1" Type="http://schemas.openxmlformats.org/officeDocument/2006/relationships/image" Target="../media/image48.png"/><Relationship Id="rId6" Type="http://schemas.openxmlformats.org/officeDocument/2006/relationships/image" Target="../media/image53.png"/><Relationship Id="rId11" Type="http://schemas.openxmlformats.org/officeDocument/2006/relationships/image" Target="../media/image58.png"/><Relationship Id="rId5" Type="http://schemas.openxmlformats.org/officeDocument/2006/relationships/image" Target="../media/image52.png"/><Relationship Id="rId15" Type="http://schemas.openxmlformats.org/officeDocument/2006/relationships/image" Target="../media/image62.png"/><Relationship Id="rId10" Type="http://schemas.openxmlformats.org/officeDocument/2006/relationships/image" Target="../media/image57.png"/><Relationship Id="rId4" Type="http://schemas.openxmlformats.org/officeDocument/2006/relationships/image" Target="../media/image51.png"/><Relationship Id="rId9" Type="http://schemas.openxmlformats.org/officeDocument/2006/relationships/image" Target="../media/image56.png"/><Relationship Id="rId14" Type="http://schemas.openxmlformats.org/officeDocument/2006/relationships/image" Target="../media/image6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9" Type="http://schemas.openxmlformats.org/officeDocument/2006/relationships/image" Target="../media/image41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42" Type="http://schemas.openxmlformats.org/officeDocument/2006/relationships/image" Target="../media/image44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9" Type="http://schemas.openxmlformats.org/officeDocument/2006/relationships/image" Target="../media/image31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45" Type="http://schemas.openxmlformats.org/officeDocument/2006/relationships/image" Target="../media/image47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8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4" Type="http://schemas.openxmlformats.org/officeDocument/2006/relationships/image" Target="../media/image46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Relationship Id="rId43" Type="http://schemas.openxmlformats.org/officeDocument/2006/relationships/image" Target="../media/image45.emf"/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38" Type="http://schemas.openxmlformats.org/officeDocument/2006/relationships/image" Target="../media/image40.emf"/><Relationship Id="rId20" Type="http://schemas.openxmlformats.org/officeDocument/2006/relationships/image" Target="../media/image22.emf"/><Relationship Id="rId4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5</xdr:row>
      <xdr:rowOff>66675</xdr:rowOff>
    </xdr:from>
    <xdr:to>
      <xdr:col>4</xdr:col>
      <xdr:colOff>285750</xdr:colOff>
      <xdr:row>5</xdr:row>
      <xdr:rowOff>66675</xdr:rowOff>
    </xdr:to>
    <xdr:cxnSp macro="">
      <xdr:nvCxnSpPr>
        <xdr:cNvPr id="3" name="Conector recto 2"/>
        <xdr:cNvCxnSpPr/>
      </xdr:nvCxnSpPr>
      <xdr:spPr>
        <a:xfrm>
          <a:off x="2886075" y="1019175"/>
          <a:ext cx="447675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123825</xdr:colOff>
      <xdr:row>6</xdr:row>
      <xdr:rowOff>76200</xdr:rowOff>
    </xdr:from>
    <xdr:to>
      <xdr:col>0</xdr:col>
      <xdr:colOff>571500</xdr:colOff>
      <xdr:row>6</xdr:row>
      <xdr:rowOff>76200</xdr:rowOff>
    </xdr:to>
    <xdr:cxnSp macro="">
      <xdr:nvCxnSpPr>
        <xdr:cNvPr id="4" name="Conector recto 3"/>
        <xdr:cNvCxnSpPr/>
      </xdr:nvCxnSpPr>
      <xdr:spPr>
        <a:xfrm>
          <a:off x="123825" y="1219200"/>
          <a:ext cx="447675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5</xdr:row>
      <xdr:rowOff>28575</xdr:rowOff>
    </xdr:from>
    <xdr:to>
      <xdr:col>0</xdr:col>
      <xdr:colOff>561975</xdr:colOff>
      <xdr:row>5</xdr:row>
      <xdr:rowOff>28575</xdr:rowOff>
    </xdr:to>
    <xdr:cxnSp macro="">
      <xdr:nvCxnSpPr>
        <xdr:cNvPr id="5" name="Conector recto 4"/>
        <xdr:cNvCxnSpPr/>
      </xdr:nvCxnSpPr>
      <xdr:spPr>
        <a:xfrm>
          <a:off x="114300" y="981075"/>
          <a:ext cx="447675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247650</xdr:colOff>
      <xdr:row>5</xdr:row>
      <xdr:rowOff>28575</xdr:rowOff>
    </xdr:from>
    <xdr:to>
      <xdr:col>7</xdr:col>
      <xdr:colOff>695325</xdr:colOff>
      <xdr:row>5</xdr:row>
      <xdr:rowOff>28575</xdr:rowOff>
    </xdr:to>
    <xdr:cxnSp macro="">
      <xdr:nvCxnSpPr>
        <xdr:cNvPr id="6" name="Conector recto 5"/>
        <xdr:cNvCxnSpPr/>
      </xdr:nvCxnSpPr>
      <xdr:spPr>
        <a:xfrm>
          <a:off x="7181850" y="981075"/>
          <a:ext cx="447675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257175</xdr:colOff>
      <xdr:row>6</xdr:row>
      <xdr:rowOff>95250</xdr:rowOff>
    </xdr:from>
    <xdr:to>
      <xdr:col>7</xdr:col>
      <xdr:colOff>704850</xdr:colOff>
      <xdr:row>6</xdr:row>
      <xdr:rowOff>95250</xdr:rowOff>
    </xdr:to>
    <xdr:cxnSp macro="">
      <xdr:nvCxnSpPr>
        <xdr:cNvPr id="7" name="Conector recto 6"/>
        <xdr:cNvCxnSpPr/>
      </xdr:nvCxnSpPr>
      <xdr:spPr>
        <a:xfrm>
          <a:off x="7191375" y="1238250"/>
          <a:ext cx="447675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609600</xdr:colOff>
      <xdr:row>22</xdr:row>
      <xdr:rowOff>95250</xdr:rowOff>
    </xdr:from>
    <xdr:to>
      <xdr:col>4</xdr:col>
      <xdr:colOff>295275</xdr:colOff>
      <xdr:row>22</xdr:row>
      <xdr:rowOff>95250</xdr:rowOff>
    </xdr:to>
    <xdr:cxnSp macro="">
      <xdr:nvCxnSpPr>
        <xdr:cNvPr id="15" name="Conector recto 14"/>
        <xdr:cNvCxnSpPr/>
      </xdr:nvCxnSpPr>
      <xdr:spPr>
        <a:xfrm>
          <a:off x="4076700" y="4743450"/>
          <a:ext cx="447675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123825</xdr:colOff>
      <xdr:row>23</xdr:row>
      <xdr:rowOff>76200</xdr:rowOff>
    </xdr:from>
    <xdr:to>
      <xdr:col>0</xdr:col>
      <xdr:colOff>571500</xdr:colOff>
      <xdr:row>23</xdr:row>
      <xdr:rowOff>76200</xdr:rowOff>
    </xdr:to>
    <xdr:cxnSp macro="">
      <xdr:nvCxnSpPr>
        <xdr:cNvPr id="16" name="Conector recto 15"/>
        <xdr:cNvCxnSpPr/>
      </xdr:nvCxnSpPr>
      <xdr:spPr>
        <a:xfrm>
          <a:off x="123825" y="1219200"/>
          <a:ext cx="447675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22</xdr:row>
      <xdr:rowOff>28575</xdr:rowOff>
    </xdr:from>
    <xdr:to>
      <xdr:col>0</xdr:col>
      <xdr:colOff>561975</xdr:colOff>
      <xdr:row>22</xdr:row>
      <xdr:rowOff>28575</xdr:rowOff>
    </xdr:to>
    <xdr:cxnSp macro="">
      <xdr:nvCxnSpPr>
        <xdr:cNvPr id="17" name="Conector recto 16"/>
        <xdr:cNvCxnSpPr/>
      </xdr:nvCxnSpPr>
      <xdr:spPr>
        <a:xfrm>
          <a:off x="114300" y="981075"/>
          <a:ext cx="447675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247650</xdr:colOff>
      <xdr:row>22</xdr:row>
      <xdr:rowOff>28575</xdr:rowOff>
    </xdr:from>
    <xdr:to>
      <xdr:col>7</xdr:col>
      <xdr:colOff>695325</xdr:colOff>
      <xdr:row>22</xdr:row>
      <xdr:rowOff>28575</xdr:rowOff>
    </xdr:to>
    <xdr:cxnSp macro="">
      <xdr:nvCxnSpPr>
        <xdr:cNvPr id="18" name="Conector recto 17"/>
        <xdr:cNvCxnSpPr/>
      </xdr:nvCxnSpPr>
      <xdr:spPr>
        <a:xfrm>
          <a:off x="7810500" y="981075"/>
          <a:ext cx="447675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257175</xdr:colOff>
      <xdr:row>23</xdr:row>
      <xdr:rowOff>95250</xdr:rowOff>
    </xdr:from>
    <xdr:to>
      <xdr:col>7</xdr:col>
      <xdr:colOff>704850</xdr:colOff>
      <xdr:row>23</xdr:row>
      <xdr:rowOff>95250</xdr:rowOff>
    </xdr:to>
    <xdr:cxnSp macro="">
      <xdr:nvCxnSpPr>
        <xdr:cNvPr id="19" name="Conector recto 18"/>
        <xdr:cNvCxnSpPr/>
      </xdr:nvCxnSpPr>
      <xdr:spPr>
        <a:xfrm>
          <a:off x="7820025" y="1238250"/>
          <a:ext cx="447675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21</xdr:row>
      <xdr:rowOff>38100</xdr:rowOff>
    </xdr:from>
    <xdr:to>
      <xdr:col>4</xdr:col>
      <xdr:colOff>57150</xdr:colOff>
      <xdr:row>24</xdr:row>
      <xdr:rowOff>19050</xdr:rowOff>
    </xdr:to>
    <xdr:cxnSp macro="">
      <xdr:nvCxnSpPr>
        <xdr:cNvPr id="20" name="Conector recto 19"/>
        <xdr:cNvCxnSpPr/>
      </xdr:nvCxnSpPr>
      <xdr:spPr>
        <a:xfrm>
          <a:off x="4286250" y="4495800"/>
          <a:ext cx="0" cy="55245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228040</xdr:colOff>
      <xdr:row>2</xdr:row>
      <xdr:rowOff>180975</xdr:rowOff>
    </xdr:from>
    <xdr:to>
      <xdr:col>8</xdr:col>
      <xdr:colOff>313765</xdr:colOff>
      <xdr:row>2</xdr:row>
      <xdr:rowOff>180975</xdr:rowOff>
    </xdr:to>
    <xdr:cxnSp macro="">
      <xdr:nvCxnSpPr>
        <xdr:cNvPr id="3" name="Conector recto de flecha 2"/>
        <xdr:cNvCxnSpPr/>
      </xdr:nvCxnSpPr>
      <xdr:spPr>
        <a:xfrm>
          <a:off x="3163981" y="561975"/>
          <a:ext cx="1038225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180415</xdr:colOff>
      <xdr:row>15</xdr:row>
      <xdr:rowOff>152400</xdr:rowOff>
    </xdr:from>
    <xdr:to>
      <xdr:col>8</xdr:col>
      <xdr:colOff>313765</xdr:colOff>
      <xdr:row>15</xdr:row>
      <xdr:rowOff>152400</xdr:rowOff>
    </xdr:to>
    <xdr:cxnSp macro="">
      <xdr:nvCxnSpPr>
        <xdr:cNvPr id="6" name="Conector recto de flecha 5"/>
        <xdr:cNvCxnSpPr/>
      </xdr:nvCxnSpPr>
      <xdr:spPr>
        <a:xfrm>
          <a:off x="3116356" y="3200400"/>
          <a:ext cx="1085850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1</xdr:row>
      <xdr:rowOff>609600</xdr:rowOff>
    </xdr:from>
    <xdr:to>
      <xdr:col>2</xdr:col>
      <xdr:colOff>723900</xdr:colOff>
      <xdr:row>1</xdr:row>
      <xdr:rowOff>609600</xdr:rowOff>
    </xdr:to>
    <xdr:cxnSp macro="">
      <xdr:nvCxnSpPr>
        <xdr:cNvPr id="3" name="Conector recto de flecha 2"/>
        <xdr:cNvCxnSpPr/>
      </xdr:nvCxnSpPr>
      <xdr:spPr>
        <a:xfrm>
          <a:off x="1628775" y="990600"/>
          <a:ext cx="619125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</xdr:row>
      <xdr:rowOff>9525</xdr:rowOff>
    </xdr:from>
    <xdr:to>
      <xdr:col>13</xdr:col>
      <xdr:colOff>19050</xdr:colOff>
      <xdr:row>2</xdr:row>
      <xdr:rowOff>9525</xdr:rowOff>
    </xdr:to>
    <xdr:cxnSp macro="">
      <xdr:nvCxnSpPr>
        <xdr:cNvPr id="4" name="Conector recto de flecha 3"/>
        <xdr:cNvCxnSpPr/>
      </xdr:nvCxnSpPr>
      <xdr:spPr>
        <a:xfrm>
          <a:off x="9305925" y="1095375"/>
          <a:ext cx="619125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104775</xdr:colOff>
      <xdr:row>12</xdr:row>
      <xdr:rowOff>609600</xdr:rowOff>
    </xdr:from>
    <xdr:to>
      <xdr:col>2</xdr:col>
      <xdr:colOff>723900</xdr:colOff>
      <xdr:row>12</xdr:row>
      <xdr:rowOff>609600</xdr:rowOff>
    </xdr:to>
    <xdr:cxnSp macro="">
      <xdr:nvCxnSpPr>
        <xdr:cNvPr id="9" name="Conector recto de flecha 8"/>
        <xdr:cNvCxnSpPr/>
      </xdr:nvCxnSpPr>
      <xdr:spPr>
        <a:xfrm>
          <a:off x="1628775" y="990600"/>
          <a:ext cx="619125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13</xdr:row>
      <xdr:rowOff>9525</xdr:rowOff>
    </xdr:from>
    <xdr:to>
      <xdr:col>13</xdr:col>
      <xdr:colOff>19050</xdr:colOff>
      <xdr:row>13</xdr:row>
      <xdr:rowOff>9525</xdr:rowOff>
    </xdr:to>
    <xdr:cxnSp macro="">
      <xdr:nvCxnSpPr>
        <xdr:cNvPr id="10" name="Conector recto de flecha 9"/>
        <xdr:cNvCxnSpPr/>
      </xdr:nvCxnSpPr>
      <xdr:spPr>
        <a:xfrm>
          <a:off x="9305925" y="1095375"/>
          <a:ext cx="619125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752475</xdr:colOff>
      <xdr:row>10</xdr:row>
      <xdr:rowOff>0</xdr:rowOff>
    </xdr:from>
    <xdr:to>
      <xdr:col>10</xdr:col>
      <xdr:colOff>752475</xdr:colOff>
      <xdr:row>16</xdr:row>
      <xdr:rowOff>123825</xdr:rowOff>
    </xdr:to>
    <xdr:cxnSp macro="">
      <xdr:nvCxnSpPr>
        <xdr:cNvPr id="8" name="Conector recto 7"/>
        <xdr:cNvCxnSpPr/>
      </xdr:nvCxnSpPr>
      <xdr:spPr>
        <a:xfrm>
          <a:off x="8372475" y="381000"/>
          <a:ext cx="0" cy="12668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647700</xdr:colOff>
      <xdr:row>16</xdr:row>
      <xdr:rowOff>123825</xdr:rowOff>
    </xdr:from>
    <xdr:to>
      <xdr:col>10</xdr:col>
      <xdr:colOff>752476</xdr:colOff>
      <xdr:row>21</xdr:row>
      <xdr:rowOff>19050</xdr:rowOff>
    </xdr:to>
    <xdr:cxnSp macro="">
      <xdr:nvCxnSpPr>
        <xdr:cNvPr id="9" name="Conector recto 8"/>
        <xdr:cNvCxnSpPr/>
      </xdr:nvCxnSpPr>
      <xdr:spPr>
        <a:xfrm flipH="1">
          <a:off x="7505700" y="1647825"/>
          <a:ext cx="866776" cy="8477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16</xdr:row>
      <xdr:rowOff>142875</xdr:rowOff>
    </xdr:from>
    <xdr:to>
      <xdr:col>12</xdr:col>
      <xdr:colOff>0</xdr:colOff>
      <xdr:row>20</xdr:row>
      <xdr:rowOff>180975</xdr:rowOff>
    </xdr:to>
    <xdr:cxnSp macro="">
      <xdr:nvCxnSpPr>
        <xdr:cNvPr id="10" name="Conector recto 9"/>
        <xdr:cNvCxnSpPr/>
      </xdr:nvCxnSpPr>
      <xdr:spPr>
        <a:xfrm>
          <a:off x="8382000" y="1666875"/>
          <a:ext cx="762000" cy="8001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193895</xdr:colOff>
      <xdr:row>18</xdr:row>
      <xdr:rowOff>10468</xdr:rowOff>
    </xdr:from>
    <xdr:to>
      <xdr:col>11</xdr:col>
      <xdr:colOff>552946</xdr:colOff>
      <xdr:row>19</xdr:row>
      <xdr:rowOff>117090</xdr:rowOff>
    </xdr:to>
    <xdr:sp macro="" textlink="">
      <xdr:nvSpPr>
        <xdr:cNvPr id="12" name="Rectángulo 11"/>
        <xdr:cNvSpPr/>
      </xdr:nvSpPr>
      <xdr:spPr>
        <a:xfrm rot="18982821">
          <a:off x="8575895" y="2296468"/>
          <a:ext cx="359051" cy="29712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Z2</a:t>
          </a:r>
        </a:p>
      </xdr:txBody>
    </xdr:sp>
    <xdr:clientData/>
  </xdr:twoCellAnchor>
  <xdr:twoCellAnchor>
    <xdr:from>
      <xdr:col>2</xdr:col>
      <xdr:colOff>723900</xdr:colOff>
      <xdr:row>10</xdr:row>
      <xdr:rowOff>7793</xdr:rowOff>
    </xdr:from>
    <xdr:to>
      <xdr:col>11</xdr:col>
      <xdr:colOff>0</xdr:colOff>
      <xdr:row>10</xdr:row>
      <xdr:rowOff>7793</xdr:rowOff>
    </xdr:to>
    <xdr:cxnSp macro="">
      <xdr:nvCxnSpPr>
        <xdr:cNvPr id="18" name="Conector recto 17"/>
        <xdr:cNvCxnSpPr/>
      </xdr:nvCxnSpPr>
      <xdr:spPr>
        <a:xfrm>
          <a:off x="5313218" y="2570884"/>
          <a:ext cx="646314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21</xdr:row>
      <xdr:rowOff>9525</xdr:rowOff>
    </xdr:from>
    <xdr:to>
      <xdr:col>9</xdr:col>
      <xdr:colOff>657225</xdr:colOff>
      <xdr:row>21</xdr:row>
      <xdr:rowOff>19051</xdr:rowOff>
    </xdr:to>
    <xdr:cxnSp macro="">
      <xdr:nvCxnSpPr>
        <xdr:cNvPr id="20" name="Conector recto 19"/>
        <xdr:cNvCxnSpPr/>
      </xdr:nvCxnSpPr>
      <xdr:spPr>
        <a:xfrm flipV="1">
          <a:off x="3000375" y="3057525"/>
          <a:ext cx="4514850" cy="95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704850</xdr:colOff>
      <xdr:row>21</xdr:row>
      <xdr:rowOff>0</xdr:rowOff>
    </xdr:from>
    <xdr:to>
      <xdr:col>1</xdr:col>
      <xdr:colOff>714375</xdr:colOff>
      <xdr:row>24</xdr:row>
      <xdr:rowOff>38100</xdr:rowOff>
    </xdr:to>
    <xdr:cxnSp macro="">
      <xdr:nvCxnSpPr>
        <xdr:cNvPr id="25" name="Conector recto 24"/>
        <xdr:cNvCxnSpPr/>
      </xdr:nvCxnSpPr>
      <xdr:spPr>
        <a:xfrm>
          <a:off x="1466850" y="2476500"/>
          <a:ext cx="9525" cy="609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714375</xdr:colOff>
      <xdr:row>24</xdr:row>
      <xdr:rowOff>38100</xdr:rowOff>
    </xdr:from>
    <xdr:to>
      <xdr:col>11</xdr:col>
      <xdr:colOff>752475</xdr:colOff>
      <xdr:row>24</xdr:row>
      <xdr:rowOff>47625</xdr:rowOff>
    </xdr:to>
    <xdr:cxnSp macro="">
      <xdr:nvCxnSpPr>
        <xdr:cNvPr id="27" name="Conector recto 26"/>
        <xdr:cNvCxnSpPr/>
      </xdr:nvCxnSpPr>
      <xdr:spPr>
        <a:xfrm flipV="1">
          <a:off x="1476375" y="3086100"/>
          <a:ext cx="7658100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752475</xdr:colOff>
      <xdr:row>20</xdr:row>
      <xdr:rowOff>180975</xdr:rowOff>
    </xdr:from>
    <xdr:to>
      <xdr:col>12</xdr:col>
      <xdr:colOff>0</xdr:colOff>
      <xdr:row>24</xdr:row>
      <xdr:rowOff>38100</xdr:rowOff>
    </xdr:to>
    <xdr:cxnSp macro="">
      <xdr:nvCxnSpPr>
        <xdr:cNvPr id="29" name="Conector recto 28"/>
        <xdr:cNvCxnSpPr/>
      </xdr:nvCxnSpPr>
      <xdr:spPr>
        <a:xfrm flipV="1">
          <a:off x="9134475" y="2466975"/>
          <a:ext cx="9525" cy="6191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595033</xdr:colOff>
      <xdr:row>11</xdr:row>
      <xdr:rowOff>183777</xdr:rowOff>
    </xdr:from>
    <xdr:to>
      <xdr:col>11</xdr:col>
      <xdr:colOff>156882</xdr:colOff>
      <xdr:row>14</xdr:row>
      <xdr:rowOff>22412</xdr:rowOff>
    </xdr:to>
    <xdr:sp macro="" textlink="">
      <xdr:nvSpPr>
        <xdr:cNvPr id="30" name="Rectángulo 29"/>
        <xdr:cNvSpPr/>
      </xdr:nvSpPr>
      <xdr:spPr>
        <a:xfrm>
          <a:off x="8215033" y="1136277"/>
          <a:ext cx="323849" cy="410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Z1</a:t>
          </a:r>
        </a:p>
      </xdr:txBody>
    </xdr:sp>
    <xdr:clientData/>
  </xdr:twoCellAnchor>
  <xdr:twoCellAnchor>
    <xdr:from>
      <xdr:col>10</xdr:col>
      <xdr:colOff>108169</xdr:colOff>
      <xdr:row>18</xdr:row>
      <xdr:rowOff>29518</xdr:rowOff>
    </xdr:from>
    <xdr:to>
      <xdr:col>10</xdr:col>
      <xdr:colOff>467220</xdr:colOff>
      <xdr:row>19</xdr:row>
      <xdr:rowOff>136140</xdr:rowOff>
    </xdr:to>
    <xdr:sp macro="" textlink="">
      <xdr:nvSpPr>
        <xdr:cNvPr id="31" name="Rectángulo 30"/>
        <xdr:cNvSpPr/>
      </xdr:nvSpPr>
      <xdr:spPr>
        <a:xfrm rot="2126916">
          <a:off x="7728169" y="2315518"/>
          <a:ext cx="359051" cy="29712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Z3</a:t>
          </a:r>
        </a:p>
      </xdr:txBody>
    </xdr:sp>
    <xdr:clientData/>
  </xdr:twoCellAnchor>
  <xdr:twoCellAnchor>
    <xdr:from>
      <xdr:col>4</xdr:col>
      <xdr:colOff>459681</xdr:colOff>
      <xdr:row>8</xdr:row>
      <xdr:rowOff>59231</xdr:rowOff>
    </xdr:from>
    <xdr:to>
      <xdr:col>5</xdr:col>
      <xdr:colOff>353785</xdr:colOff>
      <xdr:row>8</xdr:row>
      <xdr:rowOff>59231</xdr:rowOff>
    </xdr:to>
    <xdr:cxnSp macro="">
      <xdr:nvCxnSpPr>
        <xdr:cNvPr id="35" name="Conector recto de flecha 34"/>
        <xdr:cNvCxnSpPr/>
      </xdr:nvCxnSpPr>
      <xdr:spPr>
        <a:xfrm>
          <a:off x="6542074" y="2018660"/>
          <a:ext cx="38396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488577</xdr:colOff>
      <xdr:row>20</xdr:row>
      <xdr:rowOff>11205</xdr:rowOff>
    </xdr:from>
    <xdr:to>
      <xdr:col>5</xdr:col>
      <xdr:colOff>392206</xdr:colOff>
      <xdr:row>20</xdr:row>
      <xdr:rowOff>11205</xdr:rowOff>
    </xdr:to>
    <xdr:cxnSp macro="">
      <xdr:nvCxnSpPr>
        <xdr:cNvPr id="36" name="Conector recto de flecha 35"/>
        <xdr:cNvCxnSpPr/>
      </xdr:nvCxnSpPr>
      <xdr:spPr>
        <a:xfrm>
          <a:off x="5006148" y="3930062"/>
          <a:ext cx="39348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212912</xdr:colOff>
      <xdr:row>21</xdr:row>
      <xdr:rowOff>67236</xdr:rowOff>
    </xdr:from>
    <xdr:to>
      <xdr:col>1</xdr:col>
      <xdr:colOff>212913</xdr:colOff>
      <xdr:row>23</xdr:row>
      <xdr:rowOff>156882</xdr:rowOff>
    </xdr:to>
    <xdr:cxnSp macro="">
      <xdr:nvCxnSpPr>
        <xdr:cNvPr id="38" name="Conector recto de flecha 37"/>
        <xdr:cNvCxnSpPr/>
      </xdr:nvCxnSpPr>
      <xdr:spPr>
        <a:xfrm flipH="1">
          <a:off x="974912" y="3115236"/>
          <a:ext cx="1" cy="47064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179294</xdr:colOff>
      <xdr:row>6</xdr:row>
      <xdr:rowOff>11206</xdr:rowOff>
    </xdr:from>
    <xdr:to>
      <xdr:col>13</xdr:col>
      <xdr:colOff>1</xdr:colOff>
      <xdr:row>12</xdr:row>
      <xdr:rowOff>0</xdr:rowOff>
    </xdr:to>
    <xdr:cxnSp macro="">
      <xdr:nvCxnSpPr>
        <xdr:cNvPr id="42" name="Conector recto de flecha 41"/>
        <xdr:cNvCxnSpPr/>
      </xdr:nvCxnSpPr>
      <xdr:spPr>
        <a:xfrm flipH="1">
          <a:off x="9009529" y="773206"/>
          <a:ext cx="1344707" cy="113179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324974</xdr:colOff>
      <xdr:row>9</xdr:row>
      <xdr:rowOff>44824</xdr:rowOff>
    </xdr:from>
    <xdr:to>
      <xdr:col>12</xdr:col>
      <xdr:colOff>750794</xdr:colOff>
      <xdr:row>18</xdr:row>
      <xdr:rowOff>33617</xdr:rowOff>
    </xdr:to>
    <xdr:cxnSp macro="">
      <xdr:nvCxnSpPr>
        <xdr:cNvPr id="44" name="Conector recto de flecha 43"/>
        <xdr:cNvCxnSpPr/>
      </xdr:nvCxnSpPr>
      <xdr:spPr>
        <a:xfrm flipH="1">
          <a:off x="8393209" y="1378324"/>
          <a:ext cx="1949820" cy="170329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549092</xdr:colOff>
      <xdr:row>13</xdr:row>
      <xdr:rowOff>0</xdr:rowOff>
    </xdr:from>
    <xdr:to>
      <xdr:col>13</xdr:col>
      <xdr:colOff>11206</xdr:colOff>
      <xdr:row>18</xdr:row>
      <xdr:rowOff>78441</xdr:rowOff>
    </xdr:to>
    <xdr:cxnSp macro="">
      <xdr:nvCxnSpPr>
        <xdr:cNvPr id="48" name="Conector recto de flecha 47"/>
        <xdr:cNvCxnSpPr/>
      </xdr:nvCxnSpPr>
      <xdr:spPr>
        <a:xfrm flipH="1">
          <a:off x="9379327" y="2095500"/>
          <a:ext cx="986114" cy="103094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67236</xdr:colOff>
      <xdr:row>16</xdr:row>
      <xdr:rowOff>56029</xdr:rowOff>
    </xdr:from>
    <xdr:to>
      <xdr:col>8</xdr:col>
      <xdr:colOff>672353</xdr:colOff>
      <xdr:row>16</xdr:row>
      <xdr:rowOff>56030</xdr:rowOff>
    </xdr:to>
    <xdr:cxnSp macro="">
      <xdr:nvCxnSpPr>
        <xdr:cNvPr id="54" name="Conector recto de flecha 53"/>
        <xdr:cNvCxnSpPr/>
      </xdr:nvCxnSpPr>
      <xdr:spPr>
        <a:xfrm flipH="1">
          <a:off x="7317442" y="2913529"/>
          <a:ext cx="605117" cy="1"/>
        </a:xfrm>
        <a:prstGeom prst="straightConnector1">
          <a:avLst/>
        </a:prstGeom>
        <a:noFill/>
        <a:ln w="6350" cap="flat" cmpd="sng" algn="ctr">
          <a:noFill/>
          <a:prstDash val="solid"/>
          <a:miter lim="800000"/>
          <a:tailEnd type="triangle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dk1"/>
              </a:solidFill>
              <a:prstDash val="solid"/>
              <a:miter lim="800000"/>
              <a:tailEnd type="triangle"/>
            </a14:hiddenLine>
          </a:ext>
        </a:ex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739588</xdr:colOff>
      <xdr:row>10</xdr:row>
      <xdr:rowOff>11206</xdr:rowOff>
    </xdr:from>
    <xdr:to>
      <xdr:col>3</xdr:col>
      <xdr:colOff>0</xdr:colOff>
      <xdr:row>16</xdr:row>
      <xdr:rowOff>179294</xdr:rowOff>
    </xdr:to>
    <xdr:cxnSp macro="">
      <xdr:nvCxnSpPr>
        <xdr:cNvPr id="14" name="Conector recto de flecha 13"/>
        <xdr:cNvCxnSpPr/>
      </xdr:nvCxnSpPr>
      <xdr:spPr>
        <a:xfrm flipV="1">
          <a:off x="3417794" y="1916206"/>
          <a:ext cx="22412" cy="131108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739588</xdr:colOff>
      <xdr:row>17</xdr:row>
      <xdr:rowOff>22412</xdr:rowOff>
    </xdr:from>
    <xdr:to>
      <xdr:col>3</xdr:col>
      <xdr:colOff>705970</xdr:colOff>
      <xdr:row>21</xdr:row>
      <xdr:rowOff>33618</xdr:rowOff>
    </xdr:to>
    <xdr:cxnSp macro="">
      <xdr:nvCxnSpPr>
        <xdr:cNvPr id="16" name="Conector recto de flecha 15"/>
        <xdr:cNvCxnSpPr/>
      </xdr:nvCxnSpPr>
      <xdr:spPr>
        <a:xfrm>
          <a:off x="3417794" y="3260912"/>
          <a:ext cx="728382" cy="77320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717176</xdr:colOff>
      <xdr:row>16</xdr:row>
      <xdr:rowOff>179294</xdr:rowOff>
    </xdr:from>
    <xdr:to>
      <xdr:col>2</xdr:col>
      <xdr:colOff>750794</xdr:colOff>
      <xdr:row>20</xdr:row>
      <xdr:rowOff>168088</xdr:rowOff>
    </xdr:to>
    <xdr:cxnSp macro="">
      <xdr:nvCxnSpPr>
        <xdr:cNvPr id="19" name="Conector recto de flecha 18"/>
        <xdr:cNvCxnSpPr/>
      </xdr:nvCxnSpPr>
      <xdr:spPr>
        <a:xfrm flipH="1">
          <a:off x="2633382" y="3227294"/>
          <a:ext cx="795618" cy="75079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649940</xdr:colOff>
      <xdr:row>10</xdr:row>
      <xdr:rowOff>22411</xdr:rowOff>
    </xdr:from>
    <xdr:to>
      <xdr:col>2</xdr:col>
      <xdr:colOff>649940</xdr:colOff>
      <xdr:row>20</xdr:row>
      <xdr:rowOff>123264</xdr:rowOff>
    </xdr:to>
    <xdr:cxnSp macro="">
      <xdr:nvCxnSpPr>
        <xdr:cNvPr id="22" name="Conector recto de flecha 21"/>
        <xdr:cNvCxnSpPr/>
      </xdr:nvCxnSpPr>
      <xdr:spPr>
        <a:xfrm flipH="1">
          <a:off x="2566146" y="1927411"/>
          <a:ext cx="762000" cy="200585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729983</xdr:colOff>
      <xdr:row>20</xdr:row>
      <xdr:rowOff>176893</xdr:rowOff>
    </xdr:from>
    <xdr:to>
      <xdr:col>3</xdr:col>
      <xdr:colOff>598714</xdr:colOff>
      <xdr:row>20</xdr:row>
      <xdr:rowOff>180895</xdr:rowOff>
    </xdr:to>
    <xdr:cxnSp macro="">
      <xdr:nvCxnSpPr>
        <xdr:cNvPr id="24" name="Conector recto de flecha 23"/>
        <xdr:cNvCxnSpPr/>
      </xdr:nvCxnSpPr>
      <xdr:spPr>
        <a:xfrm flipV="1">
          <a:off x="2988769" y="4095750"/>
          <a:ext cx="1365516" cy="400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78441</xdr:colOff>
      <xdr:row>10</xdr:row>
      <xdr:rowOff>11206</xdr:rowOff>
    </xdr:from>
    <xdr:to>
      <xdr:col>3</xdr:col>
      <xdr:colOff>728383</xdr:colOff>
      <xdr:row>20</xdr:row>
      <xdr:rowOff>112059</xdr:rowOff>
    </xdr:to>
    <xdr:cxnSp macro="">
      <xdr:nvCxnSpPr>
        <xdr:cNvPr id="28" name="Conector recto de flecha 27"/>
        <xdr:cNvCxnSpPr/>
      </xdr:nvCxnSpPr>
      <xdr:spPr>
        <a:xfrm flipH="1" flipV="1">
          <a:off x="3518647" y="1916206"/>
          <a:ext cx="649942" cy="200585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1636059</xdr:colOff>
      <xdr:row>1</xdr:row>
      <xdr:rowOff>90666</xdr:rowOff>
    </xdr:from>
    <xdr:to>
      <xdr:col>0</xdr:col>
      <xdr:colOff>2050676</xdr:colOff>
      <xdr:row>1</xdr:row>
      <xdr:rowOff>90666</xdr:rowOff>
    </xdr:to>
    <xdr:cxnSp macro="">
      <xdr:nvCxnSpPr>
        <xdr:cNvPr id="34" name="Conector recto de flecha 33"/>
        <xdr:cNvCxnSpPr/>
      </xdr:nvCxnSpPr>
      <xdr:spPr>
        <a:xfrm>
          <a:off x="1636059" y="281166"/>
          <a:ext cx="41461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1607244</xdr:colOff>
      <xdr:row>10</xdr:row>
      <xdr:rowOff>109657</xdr:rowOff>
    </xdr:from>
    <xdr:to>
      <xdr:col>0</xdr:col>
      <xdr:colOff>2021861</xdr:colOff>
      <xdr:row>10</xdr:row>
      <xdr:rowOff>109657</xdr:rowOff>
    </xdr:to>
    <xdr:cxnSp macro="">
      <xdr:nvCxnSpPr>
        <xdr:cNvPr id="45" name="Conector recto de flecha 44"/>
        <xdr:cNvCxnSpPr/>
      </xdr:nvCxnSpPr>
      <xdr:spPr>
        <a:xfrm>
          <a:off x="1607244" y="2123514"/>
          <a:ext cx="41461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1700093</xdr:colOff>
      <xdr:row>13</xdr:row>
      <xdr:rowOff>103254</xdr:rowOff>
    </xdr:from>
    <xdr:to>
      <xdr:col>0</xdr:col>
      <xdr:colOff>2114710</xdr:colOff>
      <xdr:row>13</xdr:row>
      <xdr:rowOff>103254</xdr:rowOff>
    </xdr:to>
    <xdr:cxnSp macro="">
      <xdr:nvCxnSpPr>
        <xdr:cNvPr id="46" name="Conector recto de flecha 45"/>
        <xdr:cNvCxnSpPr/>
      </xdr:nvCxnSpPr>
      <xdr:spPr>
        <a:xfrm>
          <a:off x="1700093" y="2688611"/>
          <a:ext cx="41461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1758523</xdr:colOff>
      <xdr:row>4</xdr:row>
      <xdr:rowOff>90666</xdr:rowOff>
    </xdr:from>
    <xdr:to>
      <xdr:col>0</xdr:col>
      <xdr:colOff>2173140</xdr:colOff>
      <xdr:row>4</xdr:row>
      <xdr:rowOff>90666</xdr:rowOff>
    </xdr:to>
    <xdr:cxnSp macro="">
      <xdr:nvCxnSpPr>
        <xdr:cNvPr id="32" name="Conector recto de flecha 31"/>
        <xdr:cNvCxnSpPr/>
      </xdr:nvCxnSpPr>
      <xdr:spPr>
        <a:xfrm>
          <a:off x="1758523" y="852666"/>
          <a:ext cx="41461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2203557</xdr:colOff>
      <xdr:row>16</xdr:row>
      <xdr:rowOff>103254</xdr:rowOff>
    </xdr:from>
    <xdr:to>
      <xdr:col>0</xdr:col>
      <xdr:colOff>2618174</xdr:colOff>
      <xdr:row>16</xdr:row>
      <xdr:rowOff>103254</xdr:rowOff>
    </xdr:to>
    <xdr:cxnSp macro="">
      <xdr:nvCxnSpPr>
        <xdr:cNvPr id="59" name="Conector recto de flecha 58"/>
        <xdr:cNvCxnSpPr/>
      </xdr:nvCxnSpPr>
      <xdr:spPr>
        <a:xfrm>
          <a:off x="2203557" y="3260111"/>
          <a:ext cx="41461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674914</xdr:colOff>
      <xdr:row>15</xdr:row>
      <xdr:rowOff>58511</xdr:rowOff>
    </xdr:from>
    <xdr:to>
      <xdr:col>6</xdr:col>
      <xdr:colOff>947057</xdr:colOff>
      <xdr:row>16</xdr:row>
      <xdr:rowOff>72118</xdr:rowOff>
    </xdr:to>
    <xdr:sp macro="" textlink="">
      <xdr:nvSpPr>
        <xdr:cNvPr id="3" name="CuadroTexto 2"/>
        <xdr:cNvSpPr txBox="1"/>
      </xdr:nvSpPr>
      <xdr:spPr>
        <a:xfrm>
          <a:off x="8313964" y="3020786"/>
          <a:ext cx="1034143" cy="204107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530679</xdr:colOff>
      <xdr:row>14</xdr:row>
      <xdr:rowOff>81643</xdr:rowOff>
    </xdr:from>
    <xdr:to>
      <xdr:col>10</xdr:col>
      <xdr:colOff>571500</xdr:colOff>
      <xdr:row>17</xdr:row>
      <xdr:rowOff>27214</xdr:rowOff>
    </xdr:to>
    <xdr:sp macro="" textlink="">
      <xdr:nvSpPr>
        <xdr:cNvPr id="5" name="Rectángulo 4"/>
        <xdr:cNvSpPr/>
      </xdr:nvSpPr>
      <xdr:spPr>
        <a:xfrm>
          <a:off x="6912429" y="2857500"/>
          <a:ext cx="5633357" cy="517071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612321</xdr:colOff>
      <xdr:row>16</xdr:row>
      <xdr:rowOff>163286</xdr:rowOff>
    </xdr:from>
    <xdr:to>
      <xdr:col>10</xdr:col>
      <xdr:colOff>680357</xdr:colOff>
      <xdr:row>17</xdr:row>
      <xdr:rowOff>40822</xdr:rowOff>
    </xdr:to>
    <xdr:sp macro="" textlink="">
      <xdr:nvSpPr>
        <xdr:cNvPr id="7" name="Rectángulo 6"/>
        <xdr:cNvSpPr/>
      </xdr:nvSpPr>
      <xdr:spPr>
        <a:xfrm>
          <a:off x="12586607" y="3320143"/>
          <a:ext cx="68036" cy="68036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521155</xdr:colOff>
      <xdr:row>14</xdr:row>
      <xdr:rowOff>85726</xdr:rowOff>
    </xdr:from>
    <xdr:to>
      <xdr:col>10</xdr:col>
      <xdr:colOff>563337</xdr:colOff>
      <xdr:row>17</xdr:row>
      <xdr:rowOff>31297</xdr:rowOff>
    </xdr:to>
    <xdr:sp macro="" textlink="">
      <xdr:nvSpPr>
        <xdr:cNvPr id="11" name="Rectángulo 10"/>
        <xdr:cNvSpPr/>
      </xdr:nvSpPr>
      <xdr:spPr>
        <a:xfrm>
          <a:off x="6912430" y="2857501"/>
          <a:ext cx="5633357" cy="517071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604157</xdr:colOff>
      <xdr:row>16</xdr:row>
      <xdr:rowOff>167368</xdr:rowOff>
    </xdr:from>
    <xdr:to>
      <xdr:col>10</xdr:col>
      <xdr:colOff>672193</xdr:colOff>
      <xdr:row>17</xdr:row>
      <xdr:rowOff>44904</xdr:rowOff>
    </xdr:to>
    <xdr:sp macro="" textlink="">
      <xdr:nvSpPr>
        <xdr:cNvPr id="15" name="Rectángulo 14"/>
        <xdr:cNvSpPr/>
      </xdr:nvSpPr>
      <xdr:spPr>
        <a:xfrm>
          <a:off x="12586607" y="3320143"/>
          <a:ext cx="68036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604157</xdr:colOff>
      <xdr:row>16</xdr:row>
      <xdr:rowOff>167368</xdr:rowOff>
    </xdr:from>
    <xdr:to>
      <xdr:col>10</xdr:col>
      <xdr:colOff>672193</xdr:colOff>
      <xdr:row>17</xdr:row>
      <xdr:rowOff>44904</xdr:rowOff>
    </xdr:to>
    <xdr:sp macro="" textlink="">
      <xdr:nvSpPr>
        <xdr:cNvPr id="37" name="Rectángulo 36"/>
        <xdr:cNvSpPr/>
      </xdr:nvSpPr>
      <xdr:spPr>
        <a:xfrm>
          <a:off x="12586607" y="3320143"/>
          <a:ext cx="68036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604157</xdr:colOff>
      <xdr:row>16</xdr:row>
      <xdr:rowOff>167368</xdr:rowOff>
    </xdr:from>
    <xdr:to>
      <xdr:col>10</xdr:col>
      <xdr:colOff>672193</xdr:colOff>
      <xdr:row>17</xdr:row>
      <xdr:rowOff>44904</xdr:rowOff>
    </xdr:to>
    <xdr:sp macro="" textlink="">
      <xdr:nvSpPr>
        <xdr:cNvPr id="49" name="Rectángulo 48"/>
        <xdr:cNvSpPr/>
      </xdr:nvSpPr>
      <xdr:spPr>
        <a:xfrm>
          <a:off x="12586607" y="3320143"/>
          <a:ext cx="68036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57" name="Conector recto de flecha 56"/>
        <xdr:cNvCxnSpPr/>
      </xdr:nvCxnSpPr>
      <xdr:spPr>
        <a:xfrm>
          <a:off x="6395357" y="33201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674914</xdr:colOff>
      <xdr:row>15</xdr:row>
      <xdr:rowOff>58511</xdr:rowOff>
    </xdr:from>
    <xdr:to>
      <xdr:col>6</xdr:col>
      <xdr:colOff>947057</xdr:colOff>
      <xdr:row>16</xdr:row>
      <xdr:rowOff>72118</xdr:rowOff>
    </xdr:to>
    <xdr:sp macro="" textlink="">
      <xdr:nvSpPr>
        <xdr:cNvPr id="58" name="CuadroTexto 57"/>
        <xdr:cNvSpPr txBox="1"/>
      </xdr:nvSpPr>
      <xdr:spPr>
        <a:xfrm>
          <a:off x="8313964" y="3020786"/>
          <a:ext cx="1034143" cy="204107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6</xdr:col>
      <xdr:colOff>21771</xdr:colOff>
      <xdr:row>14</xdr:row>
      <xdr:rowOff>153761</xdr:rowOff>
    </xdr:from>
    <xdr:to>
      <xdr:col>6</xdr:col>
      <xdr:colOff>389164</xdr:colOff>
      <xdr:row>15</xdr:row>
      <xdr:rowOff>31296</xdr:rowOff>
    </xdr:to>
    <xdr:sp macro="" textlink="">
      <xdr:nvSpPr>
        <xdr:cNvPr id="60" name="Flecha izquierda 59"/>
        <xdr:cNvSpPr/>
      </xdr:nvSpPr>
      <xdr:spPr>
        <a:xfrm>
          <a:off x="8422821" y="2925536"/>
          <a:ext cx="367393" cy="680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557893</xdr:colOff>
      <xdr:row>14</xdr:row>
      <xdr:rowOff>95250</xdr:rowOff>
    </xdr:from>
    <xdr:to>
      <xdr:col>10</xdr:col>
      <xdr:colOff>557893</xdr:colOff>
      <xdr:row>17</xdr:row>
      <xdr:rowOff>0</xdr:rowOff>
    </xdr:to>
    <xdr:sp macro="" textlink="">
      <xdr:nvSpPr>
        <xdr:cNvPr id="61" name="Rectángulo 60"/>
        <xdr:cNvSpPr/>
      </xdr:nvSpPr>
      <xdr:spPr>
        <a:xfrm>
          <a:off x="6939643" y="2871107"/>
          <a:ext cx="5592536" cy="476250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27214</xdr:colOff>
      <xdr:row>16</xdr:row>
      <xdr:rowOff>122464</xdr:rowOff>
    </xdr:from>
    <xdr:to>
      <xdr:col>3</xdr:col>
      <xdr:colOff>489857</xdr:colOff>
      <xdr:row>17</xdr:row>
      <xdr:rowOff>13607</xdr:rowOff>
    </xdr:to>
    <xdr:sp macro="" textlink="">
      <xdr:nvSpPr>
        <xdr:cNvPr id="62" name="Rectángulo 61"/>
        <xdr:cNvSpPr/>
      </xdr:nvSpPr>
      <xdr:spPr>
        <a:xfrm>
          <a:off x="6408964" y="3279321"/>
          <a:ext cx="462643" cy="8164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63" name="Conector recto de flecha 62"/>
        <xdr:cNvCxnSpPr/>
      </xdr:nvCxnSpPr>
      <xdr:spPr>
        <a:xfrm>
          <a:off x="6395357" y="33201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674914</xdr:colOff>
      <xdr:row>15</xdr:row>
      <xdr:rowOff>58511</xdr:rowOff>
    </xdr:from>
    <xdr:to>
      <xdr:col>6</xdr:col>
      <xdr:colOff>947057</xdr:colOff>
      <xdr:row>16</xdr:row>
      <xdr:rowOff>72118</xdr:rowOff>
    </xdr:to>
    <xdr:sp macro="" textlink="">
      <xdr:nvSpPr>
        <xdr:cNvPr id="4096" name="CuadroTexto 4095"/>
        <xdr:cNvSpPr txBox="1"/>
      </xdr:nvSpPr>
      <xdr:spPr>
        <a:xfrm>
          <a:off x="8313964" y="3020786"/>
          <a:ext cx="1034143" cy="204107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6</xdr:col>
      <xdr:colOff>21771</xdr:colOff>
      <xdr:row>14</xdr:row>
      <xdr:rowOff>153761</xdr:rowOff>
    </xdr:from>
    <xdr:to>
      <xdr:col>6</xdr:col>
      <xdr:colOff>389164</xdr:colOff>
      <xdr:row>15</xdr:row>
      <xdr:rowOff>31296</xdr:rowOff>
    </xdr:to>
    <xdr:sp macro="" textlink="">
      <xdr:nvSpPr>
        <xdr:cNvPr id="4097" name="Flecha izquierda 4096"/>
        <xdr:cNvSpPr/>
      </xdr:nvSpPr>
      <xdr:spPr>
        <a:xfrm>
          <a:off x="8422821" y="2925536"/>
          <a:ext cx="367393" cy="680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548368</xdr:colOff>
      <xdr:row>14</xdr:row>
      <xdr:rowOff>99332</xdr:rowOff>
    </xdr:from>
    <xdr:to>
      <xdr:col>10</xdr:col>
      <xdr:colOff>549729</xdr:colOff>
      <xdr:row>17</xdr:row>
      <xdr:rowOff>4082</xdr:rowOff>
    </xdr:to>
    <xdr:sp macro="" textlink="">
      <xdr:nvSpPr>
        <xdr:cNvPr id="4100" name="Rectángulo 4099"/>
        <xdr:cNvSpPr/>
      </xdr:nvSpPr>
      <xdr:spPr>
        <a:xfrm>
          <a:off x="6939643" y="2871107"/>
          <a:ext cx="5592536" cy="476250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4101" name="Rectángulo 4100"/>
        <xdr:cNvSpPr/>
      </xdr:nvSpPr>
      <xdr:spPr>
        <a:xfrm>
          <a:off x="6408964" y="32793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4102" name="Conector recto de flecha 4101"/>
        <xdr:cNvCxnSpPr/>
      </xdr:nvCxnSpPr>
      <xdr:spPr>
        <a:xfrm>
          <a:off x="6395357" y="33201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674914</xdr:colOff>
      <xdr:row>15</xdr:row>
      <xdr:rowOff>58511</xdr:rowOff>
    </xdr:from>
    <xdr:to>
      <xdr:col>6</xdr:col>
      <xdr:colOff>947057</xdr:colOff>
      <xdr:row>16</xdr:row>
      <xdr:rowOff>72118</xdr:rowOff>
    </xdr:to>
    <xdr:sp macro="" textlink="">
      <xdr:nvSpPr>
        <xdr:cNvPr id="4103" name="CuadroTexto 4102"/>
        <xdr:cNvSpPr txBox="1"/>
      </xdr:nvSpPr>
      <xdr:spPr>
        <a:xfrm>
          <a:off x="8313964" y="3020786"/>
          <a:ext cx="1034143" cy="204107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6</xdr:col>
      <xdr:colOff>21771</xdr:colOff>
      <xdr:row>14</xdr:row>
      <xdr:rowOff>153761</xdr:rowOff>
    </xdr:from>
    <xdr:to>
      <xdr:col>6</xdr:col>
      <xdr:colOff>389164</xdr:colOff>
      <xdr:row>15</xdr:row>
      <xdr:rowOff>31296</xdr:rowOff>
    </xdr:to>
    <xdr:sp macro="" textlink="">
      <xdr:nvSpPr>
        <xdr:cNvPr id="4104" name="Flecha izquierda 4103"/>
        <xdr:cNvSpPr/>
      </xdr:nvSpPr>
      <xdr:spPr>
        <a:xfrm>
          <a:off x="8422821" y="2925536"/>
          <a:ext cx="367393" cy="680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548368</xdr:colOff>
      <xdr:row>14</xdr:row>
      <xdr:rowOff>99332</xdr:rowOff>
    </xdr:from>
    <xdr:to>
      <xdr:col>10</xdr:col>
      <xdr:colOff>549729</xdr:colOff>
      <xdr:row>17</xdr:row>
      <xdr:rowOff>4082</xdr:rowOff>
    </xdr:to>
    <xdr:sp macro="" textlink="">
      <xdr:nvSpPr>
        <xdr:cNvPr id="4105" name="Rectángulo 4104"/>
        <xdr:cNvSpPr/>
      </xdr:nvSpPr>
      <xdr:spPr>
        <a:xfrm>
          <a:off x="6939643" y="2871107"/>
          <a:ext cx="5592536" cy="476250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4106" name="Rectángulo 4105"/>
        <xdr:cNvSpPr/>
      </xdr:nvSpPr>
      <xdr:spPr>
        <a:xfrm>
          <a:off x="6408964" y="32793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4107" name="Conector recto de flecha 4106"/>
        <xdr:cNvCxnSpPr/>
      </xdr:nvCxnSpPr>
      <xdr:spPr>
        <a:xfrm>
          <a:off x="6395357" y="33201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674914</xdr:colOff>
      <xdr:row>15</xdr:row>
      <xdr:rowOff>58511</xdr:rowOff>
    </xdr:from>
    <xdr:to>
      <xdr:col>6</xdr:col>
      <xdr:colOff>947057</xdr:colOff>
      <xdr:row>16</xdr:row>
      <xdr:rowOff>72118</xdr:rowOff>
    </xdr:to>
    <xdr:sp macro="" textlink="">
      <xdr:nvSpPr>
        <xdr:cNvPr id="4108" name="CuadroTexto 4107"/>
        <xdr:cNvSpPr txBox="1"/>
      </xdr:nvSpPr>
      <xdr:spPr>
        <a:xfrm>
          <a:off x="8313964" y="3020786"/>
          <a:ext cx="1034143" cy="204107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6</xdr:col>
      <xdr:colOff>21771</xdr:colOff>
      <xdr:row>14</xdr:row>
      <xdr:rowOff>153761</xdr:rowOff>
    </xdr:from>
    <xdr:to>
      <xdr:col>6</xdr:col>
      <xdr:colOff>389164</xdr:colOff>
      <xdr:row>15</xdr:row>
      <xdr:rowOff>31296</xdr:rowOff>
    </xdr:to>
    <xdr:sp macro="" textlink="">
      <xdr:nvSpPr>
        <xdr:cNvPr id="4109" name="Flecha izquierda 4108"/>
        <xdr:cNvSpPr/>
      </xdr:nvSpPr>
      <xdr:spPr>
        <a:xfrm>
          <a:off x="8422821" y="2925536"/>
          <a:ext cx="367393" cy="680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548368</xdr:colOff>
      <xdr:row>14</xdr:row>
      <xdr:rowOff>99332</xdr:rowOff>
    </xdr:from>
    <xdr:to>
      <xdr:col>10</xdr:col>
      <xdr:colOff>549729</xdr:colOff>
      <xdr:row>17</xdr:row>
      <xdr:rowOff>4082</xdr:rowOff>
    </xdr:to>
    <xdr:sp macro="" textlink="">
      <xdr:nvSpPr>
        <xdr:cNvPr id="4110" name="Rectángulo 4109"/>
        <xdr:cNvSpPr/>
      </xdr:nvSpPr>
      <xdr:spPr>
        <a:xfrm>
          <a:off x="6939643" y="2871107"/>
          <a:ext cx="5592536" cy="476250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4111" name="Rectángulo 4110"/>
        <xdr:cNvSpPr/>
      </xdr:nvSpPr>
      <xdr:spPr>
        <a:xfrm>
          <a:off x="6408964" y="32793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4112" name="Conector recto de flecha 4111"/>
        <xdr:cNvCxnSpPr/>
      </xdr:nvCxnSpPr>
      <xdr:spPr>
        <a:xfrm>
          <a:off x="6395357" y="33201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674914</xdr:colOff>
      <xdr:row>15</xdr:row>
      <xdr:rowOff>58511</xdr:rowOff>
    </xdr:from>
    <xdr:to>
      <xdr:col>6</xdr:col>
      <xdr:colOff>947057</xdr:colOff>
      <xdr:row>16</xdr:row>
      <xdr:rowOff>72118</xdr:rowOff>
    </xdr:to>
    <xdr:sp macro="" textlink="">
      <xdr:nvSpPr>
        <xdr:cNvPr id="4113" name="CuadroTexto 4112"/>
        <xdr:cNvSpPr txBox="1"/>
      </xdr:nvSpPr>
      <xdr:spPr>
        <a:xfrm>
          <a:off x="8313964" y="3020786"/>
          <a:ext cx="1034143" cy="204107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6</xdr:col>
      <xdr:colOff>21771</xdr:colOff>
      <xdr:row>14</xdr:row>
      <xdr:rowOff>153761</xdr:rowOff>
    </xdr:from>
    <xdr:to>
      <xdr:col>6</xdr:col>
      <xdr:colOff>389164</xdr:colOff>
      <xdr:row>15</xdr:row>
      <xdr:rowOff>31296</xdr:rowOff>
    </xdr:to>
    <xdr:sp macro="" textlink="">
      <xdr:nvSpPr>
        <xdr:cNvPr id="4114" name="Flecha izquierda 4113"/>
        <xdr:cNvSpPr/>
      </xdr:nvSpPr>
      <xdr:spPr>
        <a:xfrm>
          <a:off x="8422821" y="2925536"/>
          <a:ext cx="367393" cy="680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548368</xdr:colOff>
      <xdr:row>14</xdr:row>
      <xdr:rowOff>99332</xdr:rowOff>
    </xdr:from>
    <xdr:to>
      <xdr:col>10</xdr:col>
      <xdr:colOff>549729</xdr:colOff>
      <xdr:row>17</xdr:row>
      <xdr:rowOff>4082</xdr:rowOff>
    </xdr:to>
    <xdr:sp macro="" textlink="">
      <xdr:nvSpPr>
        <xdr:cNvPr id="4115" name="Rectángulo 4114"/>
        <xdr:cNvSpPr/>
      </xdr:nvSpPr>
      <xdr:spPr>
        <a:xfrm>
          <a:off x="6939643" y="2871107"/>
          <a:ext cx="5592536" cy="476250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4116" name="Rectángulo 4115"/>
        <xdr:cNvSpPr/>
      </xdr:nvSpPr>
      <xdr:spPr>
        <a:xfrm>
          <a:off x="6408964" y="32793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4117" name="Conector recto de flecha 4116"/>
        <xdr:cNvCxnSpPr/>
      </xdr:nvCxnSpPr>
      <xdr:spPr>
        <a:xfrm>
          <a:off x="6395357" y="33201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674914</xdr:colOff>
      <xdr:row>15</xdr:row>
      <xdr:rowOff>58511</xdr:rowOff>
    </xdr:from>
    <xdr:to>
      <xdr:col>6</xdr:col>
      <xdr:colOff>947057</xdr:colOff>
      <xdr:row>16</xdr:row>
      <xdr:rowOff>72118</xdr:rowOff>
    </xdr:to>
    <xdr:sp macro="" textlink="">
      <xdr:nvSpPr>
        <xdr:cNvPr id="4118" name="CuadroTexto 4117"/>
        <xdr:cNvSpPr txBox="1"/>
      </xdr:nvSpPr>
      <xdr:spPr>
        <a:xfrm>
          <a:off x="8313964" y="3020786"/>
          <a:ext cx="1034143" cy="204107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6</xdr:col>
      <xdr:colOff>21771</xdr:colOff>
      <xdr:row>14</xdr:row>
      <xdr:rowOff>153761</xdr:rowOff>
    </xdr:from>
    <xdr:to>
      <xdr:col>6</xdr:col>
      <xdr:colOff>389164</xdr:colOff>
      <xdr:row>15</xdr:row>
      <xdr:rowOff>31296</xdr:rowOff>
    </xdr:to>
    <xdr:sp macro="" textlink="">
      <xdr:nvSpPr>
        <xdr:cNvPr id="4119" name="Flecha izquierda 4118"/>
        <xdr:cNvSpPr/>
      </xdr:nvSpPr>
      <xdr:spPr>
        <a:xfrm>
          <a:off x="8422821" y="2925536"/>
          <a:ext cx="367393" cy="680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548368</xdr:colOff>
      <xdr:row>14</xdr:row>
      <xdr:rowOff>99332</xdr:rowOff>
    </xdr:from>
    <xdr:to>
      <xdr:col>10</xdr:col>
      <xdr:colOff>549729</xdr:colOff>
      <xdr:row>17</xdr:row>
      <xdr:rowOff>4082</xdr:rowOff>
    </xdr:to>
    <xdr:sp macro="" textlink="">
      <xdr:nvSpPr>
        <xdr:cNvPr id="4120" name="Rectángulo 4119"/>
        <xdr:cNvSpPr/>
      </xdr:nvSpPr>
      <xdr:spPr>
        <a:xfrm>
          <a:off x="6939643" y="2871107"/>
          <a:ext cx="5592536" cy="476250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4121" name="Rectángulo 4120"/>
        <xdr:cNvSpPr/>
      </xdr:nvSpPr>
      <xdr:spPr>
        <a:xfrm>
          <a:off x="6408964" y="32793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2" name="Conector recto de flecha 1"/>
        <xdr:cNvCxnSpPr/>
      </xdr:nvCxnSpPr>
      <xdr:spPr>
        <a:xfrm>
          <a:off x="6395357" y="33201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674914</xdr:colOff>
      <xdr:row>15</xdr:row>
      <xdr:rowOff>58511</xdr:rowOff>
    </xdr:from>
    <xdr:to>
      <xdr:col>6</xdr:col>
      <xdr:colOff>947057</xdr:colOff>
      <xdr:row>16</xdr:row>
      <xdr:rowOff>72118</xdr:rowOff>
    </xdr:to>
    <xdr:sp macro="" textlink="">
      <xdr:nvSpPr>
        <xdr:cNvPr id="4" name="CuadroTexto 3"/>
        <xdr:cNvSpPr txBox="1"/>
      </xdr:nvSpPr>
      <xdr:spPr>
        <a:xfrm>
          <a:off x="8313964" y="3020786"/>
          <a:ext cx="1034143" cy="204107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6</xdr:col>
      <xdr:colOff>21771</xdr:colOff>
      <xdr:row>14</xdr:row>
      <xdr:rowOff>153761</xdr:rowOff>
    </xdr:from>
    <xdr:to>
      <xdr:col>6</xdr:col>
      <xdr:colOff>389164</xdr:colOff>
      <xdr:row>15</xdr:row>
      <xdr:rowOff>31296</xdr:rowOff>
    </xdr:to>
    <xdr:sp macro="" textlink="">
      <xdr:nvSpPr>
        <xdr:cNvPr id="6" name="Flecha izquierda 5"/>
        <xdr:cNvSpPr/>
      </xdr:nvSpPr>
      <xdr:spPr>
        <a:xfrm>
          <a:off x="8422821" y="2925536"/>
          <a:ext cx="367393" cy="680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548368</xdr:colOff>
      <xdr:row>14</xdr:row>
      <xdr:rowOff>99332</xdr:rowOff>
    </xdr:from>
    <xdr:to>
      <xdr:col>10</xdr:col>
      <xdr:colOff>549729</xdr:colOff>
      <xdr:row>17</xdr:row>
      <xdr:rowOff>4082</xdr:rowOff>
    </xdr:to>
    <xdr:sp macro="" textlink="">
      <xdr:nvSpPr>
        <xdr:cNvPr id="13" name="Rectángulo 12"/>
        <xdr:cNvSpPr/>
      </xdr:nvSpPr>
      <xdr:spPr>
        <a:xfrm>
          <a:off x="6939643" y="2871107"/>
          <a:ext cx="5592536" cy="476250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17" name="Rectángulo 16"/>
        <xdr:cNvSpPr/>
      </xdr:nvSpPr>
      <xdr:spPr>
        <a:xfrm>
          <a:off x="6408964" y="32793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495300</xdr:colOff>
      <xdr:row>17</xdr:row>
      <xdr:rowOff>58511</xdr:rowOff>
    </xdr:to>
    <xdr:sp macro="" textlink="">
      <xdr:nvSpPr>
        <xdr:cNvPr id="41" name="Flecha derecha 40"/>
        <xdr:cNvSpPr/>
      </xdr:nvSpPr>
      <xdr:spPr>
        <a:xfrm>
          <a:off x="6395357" y="3320143"/>
          <a:ext cx="6082393" cy="81643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250371</xdr:colOff>
      <xdr:row>15</xdr:row>
      <xdr:rowOff>31296</xdr:rowOff>
    </xdr:from>
    <xdr:to>
      <xdr:col>10</xdr:col>
      <xdr:colOff>100693</xdr:colOff>
      <xdr:row>16</xdr:row>
      <xdr:rowOff>126546</xdr:rowOff>
    </xdr:to>
    <xdr:sp macro="" textlink="">
      <xdr:nvSpPr>
        <xdr:cNvPr id="43" name="CuadroTexto 42"/>
        <xdr:cNvSpPr txBox="1"/>
      </xdr:nvSpPr>
      <xdr:spPr>
        <a:xfrm>
          <a:off x="11470821" y="2993571"/>
          <a:ext cx="612322" cy="28575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Von</a:t>
          </a:r>
        </a:p>
      </xdr:txBody>
    </xdr:sp>
    <xdr:clientData/>
  </xdr:twoCellAnchor>
  <xdr:twoCellAnchor>
    <xdr:from>
      <xdr:col>4</xdr:col>
      <xdr:colOff>289832</xdr:colOff>
      <xdr:row>16</xdr:row>
      <xdr:rowOff>58511</xdr:rowOff>
    </xdr:from>
    <xdr:to>
      <xdr:col>5</xdr:col>
      <xdr:colOff>334736</xdr:colOff>
      <xdr:row>17</xdr:row>
      <xdr:rowOff>153761</xdr:rowOff>
    </xdr:to>
    <xdr:sp macro="" textlink="">
      <xdr:nvSpPr>
        <xdr:cNvPr id="47" name="Rectángulo 46"/>
        <xdr:cNvSpPr/>
      </xdr:nvSpPr>
      <xdr:spPr>
        <a:xfrm>
          <a:off x="7443107" y="3211286"/>
          <a:ext cx="530679" cy="2857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276225</xdr:colOff>
      <xdr:row>14</xdr:row>
      <xdr:rowOff>99332</xdr:rowOff>
    </xdr:from>
    <xdr:to>
      <xdr:col>5</xdr:col>
      <xdr:colOff>334736</xdr:colOff>
      <xdr:row>15</xdr:row>
      <xdr:rowOff>167368</xdr:rowOff>
    </xdr:to>
    <xdr:sp macro="" textlink="">
      <xdr:nvSpPr>
        <xdr:cNvPr id="50" name="CuadroTexto 49"/>
        <xdr:cNvSpPr txBox="1"/>
      </xdr:nvSpPr>
      <xdr:spPr>
        <a:xfrm>
          <a:off x="7429500" y="2871107"/>
          <a:ext cx="544286" cy="258536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Zon</a:t>
          </a:r>
        </a:p>
      </xdr:txBody>
    </xdr:sp>
    <xdr:clientData/>
  </xdr:twoCellAnchor>
  <xdr:twoCellAnchor>
    <xdr:from>
      <xdr:col>6</xdr:col>
      <xdr:colOff>797379</xdr:colOff>
      <xdr:row>15</xdr:row>
      <xdr:rowOff>167368</xdr:rowOff>
    </xdr:from>
    <xdr:to>
      <xdr:col>7</xdr:col>
      <xdr:colOff>281668</xdr:colOff>
      <xdr:row>16</xdr:row>
      <xdr:rowOff>58511</xdr:rowOff>
    </xdr:to>
    <xdr:sp macro="" textlink="">
      <xdr:nvSpPr>
        <xdr:cNvPr id="51" name="Flecha izquierda 50"/>
        <xdr:cNvSpPr/>
      </xdr:nvSpPr>
      <xdr:spPr>
        <a:xfrm>
          <a:off x="9198429" y="3129643"/>
          <a:ext cx="503464" cy="81643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742950</xdr:colOff>
      <xdr:row>14</xdr:row>
      <xdr:rowOff>112939</xdr:rowOff>
    </xdr:from>
    <xdr:to>
      <xdr:col>7</xdr:col>
      <xdr:colOff>240846</xdr:colOff>
      <xdr:row>15</xdr:row>
      <xdr:rowOff>99332</xdr:rowOff>
    </xdr:to>
    <xdr:sp macro="" textlink="">
      <xdr:nvSpPr>
        <xdr:cNvPr id="52" name="CuadroTexto 51"/>
        <xdr:cNvSpPr txBox="1"/>
      </xdr:nvSpPr>
      <xdr:spPr>
        <a:xfrm>
          <a:off x="9144000" y="2884714"/>
          <a:ext cx="517071" cy="176893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Ion</a:t>
          </a:r>
        </a:p>
      </xdr:txBody>
    </xdr:sp>
    <xdr:clientData/>
  </xdr:twoCellAnchor>
  <xdr:twoCellAnchor>
    <xdr:from>
      <xdr:col>3</xdr:col>
      <xdr:colOff>557893</xdr:colOff>
      <xdr:row>14</xdr:row>
      <xdr:rowOff>13607</xdr:rowOff>
    </xdr:from>
    <xdr:to>
      <xdr:col>10</xdr:col>
      <xdr:colOff>489857</xdr:colOff>
      <xdr:row>17</xdr:row>
      <xdr:rowOff>95250</xdr:rowOff>
    </xdr:to>
    <xdr:sp macro="" textlink="">
      <xdr:nvSpPr>
        <xdr:cNvPr id="4124" name="Rectángulo 4123"/>
        <xdr:cNvSpPr/>
      </xdr:nvSpPr>
      <xdr:spPr>
        <a:xfrm>
          <a:off x="6939643" y="2789464"/>
          <a:ext cx="5524500" cy="65314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54429</xdr:colOff>
      <xdr:row>16</xdr:row>
      <xdr:rowOff>176893</xdr:rowOff>
    </xdr:from>
    <xdr:to>
      <xdr:col>3</xdr:col>
      <xdr:colOff>489857</xdr:colOff>
      <xdr:row>17</xdr:row>
      <xdr:rowOff>68036</xdr:rowOff>
    </xdr:to>
    <xdr:sp macro="" textlink="">
      <xdr:nvSpPr>
        <xdr:cNvPr id="4125" name="Rectángulo 4124"/>
        <xdr:cNvSpPr/>
      </xdr:nvSpPr>
      <xdr:spPr>
        <a:xfrm>
          <a:off x="6436179" y="3333750"/>
          <a:ext cx="435428" cy="8164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163286</xdr:colOff>
      <xdr:row>16</xdr:row>
      <xdr:rowOff>81643</xdr:rowOff>
    </xdr:from>
    <xdr:to>
      <xdr:col>5</xdr:col>
      <xdr:colOff>394607</xdr:colOff>
      <xdr:row>18</xdr:row>
      <xdr:rowOff>95250</xdr:rowOff>
    </xdr:to>
    <xdr:sp macro="" textlink="">
      <xdr:nvSpPr>
        <xdr:cNvPr id="4126" name="Rectángulo 4125"/>
        <xdr:cNvSpPr/>
      </xdr:nvSpPr>
      <xdr:spPr>
        <a:xfrm>
          <a:off x="7307036" y="3238500"/>
          <a:ext cx="721178" cy="394607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495300</xdr:colOff>
      <xdr:row>17</xdr:row>
      <xdr:rowOff>58511</xdr:rowOff>
    </xdr:to>
    <xdr:sp macro="" textlink="">
      <xdr:nvSpPr>
        <xdr:cNvPr id="4127" name="Flecha derecha 4126"/>
        <xdr:cNvSpPr/>
      </xdr:nvSpPr>
      <xdr:spPr>
        <a:xfrm>
          <a:off x="6395357" y="3320143"/>
          <a:ext cx="6082393" cy="81643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250371</xdr:colOff>
      <xdr:row>15</xdr:row>
      <xdr:rowOff>31296</xdr:rowOff>
    </xdr:from>
    <xdr:to>
      <xdr:col>10</xdr:col>
      <xdr:colOff>100693</xdr:colOff>
      <xdr:row>16</xdr:row>
      <xdr:rowOff>126546</xdr:rowOff>
    </xdr:to>
    <xdr:sp macro="" textlink="">
      <xdr:nvSpPr>
        <xdr:cNvPr id="4128" name="CuadroTexto 4127"/>
        <xdr:cNvSpPr txBox="1"/>
      </xdr:nvSpPr>
      <xdr:spPr>
        <a:xfrm>
          <a:off x="11470821" y="2993571"/>
          <a:ext cx="612322" cy="28575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Von</a:t>
          </a:r>
        </a:p>
      </xdr:txBody>
    </xdr:sp>
    <xdr:clientData/>
  </xdr:twoCellAnchor>
  <xdr:twoCellAnchor>
    <xdr:from>
      <xdr:col>4</xdr:col>
      <xdr:colOff>289832</xdr:colOff>
      <xdr:row>16</xdr:row>
      <xdr:rowOff>58511</xdr:rowOff>
    </xdr:from>
    <xdr:to>
      <xdr:col>5</xdr:col>
      <xdr:colOff>334736</xdr:colOff>
      <xdr:row>17</xdr:row>
      <xdr:rowOff>153761</xdr:rowOff>
    </xdr:to>
    <xdr:sp macro="" textlink="">
      <xdr:nvSpPr>
        <xdr:cNvPr id="4129" name="Rectángulo 4128"/>
        <xdr:cNvSpPr/>
      </xdr:nvSpPr>
      <xdr:spPr>
        <a:xfrm>
          <a:off x="7443107" y="3211286"/>
          <a:ext cx="530679" cy="2857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276225</xdr:colOff>
      <xdr:row>14</xdr:row>
      <xdr:rowOff>99332</xdr:rowOff>
    </xdr:from>
    <xdr:to>
      <xdr:col>5</xdr:col>
      <xdr:colOff>334736</xdr:colOff>
      <xdr:row>15</xdr:row>
      <xdr:rowOff>167368</xdr:rowOff>
    </xdr:to>
    <xdr:sp macro="" textlink="">
      <xdr:nvSpPr>
        <xdr:cNvPr id="4130" name="CuadroTexto 4129"/>
        <xdr:cNvSpPr txBox="1"/>
      </xdr:nvSpPr>
      <xdr:spPr>
        <a:xfrm>
          <a:off x="7429500" y="2871107"/>
          <a:ext cx="544286" cy="258536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Zon</a:t>
          </a:r>
        </a:p>
      </xdr:txBody>
    </xdr:sp>
    <xdr:clientData/>
  </xdr:twoCellAnchor>
  <xdr:twoCellAnchor>
    <xdr:from>
      <xdr:col>6</xdr:col>
      <xdr:colOff>797379</xdr:colOff>
      <xdr:row>15</xdr:row>
      <xdr:rowOff>167368</xdr:rowOff>
    </xdr:from>
    <xdr:to>
      <xdr:col>7</xdr:col>
      <xdr:colOff>281668</xdr:colOff>
      <xdr:row>16</xdr:row>
      <xdr:rowOff>58511</xdr:rowOff>
    </xdr:to>
    <xdr:sp macro="" textlink="">
      <xdr:nvSpPr>
        <xdr:cNvPr id="4131" name="Flecha izquierda 4130"/>
        <xdr:cNvSpPr/>
      </xdr:nvSpPr>
      <xdr:spPr>
        <a:xfrm>
          <a:off x="9198429" y="3129643"/>
          <a:ext cx="503464" cy="81643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742950</xdr:colOff>
      <xdr:row>14</xdr:row>
      <xdr:rowOff>112939</xdr:rowOff>
    </xdr:from>
    <xdr:to>
      <xdr:col>7</xdr:col>
      <xdr:colOff>240846</xdr:colOff>
      <xdr:row>15</xdr:row>
      <xdr:rowOff>99332</xdr:rowOff>
    </xdr:to>
    <xdr:sp macro="" textlink="">
      <xdr:nvSpPr>
        <xdr:cNvPr id="4132" name="CuadroTexto 4131"/>
        <xdr:cNvSpPr txBox="1"/>
      </xdr:nvSpPr>
      <xdr:spPr>
        <a:xfrm>
          <a:off x="9144000" y="2884714"/>
          <a:ext cx="517071" cy="176893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Ion</a:t>
          </a:r>
        </a:p>
      </xdr:txBody>
    </xdr:sp>
    <xdr:clientData/>
  </xdr:twoCellAnchor>
  <xdr:twoCellAnchor>
    <xdr:from>
      <xdr:col>3</xdr:col>
      <xdr:colOff>548368</xdr:colOff>
      <xdr:row>14</xdr:row>
      <xdr:rowOff>17689</xdr:rowOff>
    </xdr:from>
    <xdr:to>
      <xdr:col>10</xdr:col>
      <xdr:colOff>481693</xdr:colOff>
      <xdr:row>17</xdr:row>
      <xdr:rowOff>99332</xdr:rowOff>
    </xdr:to>
    <xdr:sp macro="" textlink="">
      <xdr:nvSpPr>
        <xdr:cNvPr id="4133" name="Rectángulo 4132"/>
        <xdr:cNvSpPr/>
      </xdr:nvSpPr>
      <xdr:spPr>
        <a:xfrm>
          <a:off x="6939643" y="2789464"/>
          <a:ext cx="5524500" cy="6531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44904</xdr:colOff>
      <xdr:row>16</xdr:row>
      <xdr:rowOff>180975</xdr:rowOff>
    </xdr:from>
    <xdr:to>
      <xdr:col>3</xdr:col>
      <xdr:colOff>480332</xdr:colOff>
      <xdr:row>17</xdr:row>
      <xdr:rowOff>72118</xdr:rowOff>
    </xdr:to>
    <xdr:sp macro="" textlink="">
      <xdr:nvSpPr>
        <xdr:cNvPr id="4134" name="Rectángulo 4133"/>
        <xdr:cNvSpPr/>
      </xdr:nvSpPr>
      <xdr:spPr>
        <a:xfrm>
          <a:off x="6436179" y="3333750"/>
          <a:ext cx="435428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153761</xdr:colOff>
      <xdr:row>16</xdr:row>
      <xdr:rowOff>85725</xdr:rowOff>
    </xdr:from>
    <xdr:to>
      <xdr:col>5</xdr:col>
      <xdr:colOff>389164</xdr:colOff>
      <xdr:row>18</xdr:row>
      <xdr:rowOff>99332</xdr:rowOff>
    </xdr:to>
    <xdr:sp macro="" textlink="">
      <xdr:nvSpPr>
        <xdr:cNvPr id="4135" name="Rectángulo 4134"/>
        <xdr:cNvSpPr/>
      </xdr:nvSpPr>
      <xdr:spPr>
        <a:xfrm>
          <a:off x="7307036" y="3238500"/>
          <a:ext cx="721178" cy="394607"/>
        </a:xfrm>
        <a:prstGeom prst="rect">
          <a:avLst/>
        </a:prstGeom>
        <a:solidFill>
          <a:schemeClr val="lt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6"/>
              </a:solidFill>
              <a:prstDash val="solid"/>
              <a:miter lim="800000"/>
            </a14:hiddenLine>
          </a:ext>
        </a:ex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250371</xdr:colOff>
      <xdr:row>15</xdr:row>
      <xdr:rowOff>31296</xdr:rowOff>
    </xdr:from>
    <xdr:to>
      <xdr:col>10</xdr:col>
      <xdr:colOff>100693</xdr:colOff>
      <xdr:row>16</xdr:row>
      <xdr:rowOff>126546</xdr:rowOff>
    </xdr:to>
    <xdr:sp macro="" textlink="">
      <xdr:nvSpPr>
        <xdr:cNvPr id="4139" name="CuadroTexto 4138"/>
        <xdr:cNvSpPr txBox="1"/>
      </xdr:nvSpPr>
      <xdr:spPr>
        <a:xfrm>
          <a:off x="11470821" y="2993571"/>
          <a:ext cx="612322" cy="28575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Von</a:t>
          </a:r>
        </a:p>
      </xdr:txBody>
    </xdr:sp>
    <xdr:clientData/>
  </xdr:twoCellAnchor>
  <xdr:twoCellAnchor>
    <xdr:from>
      <xdr:col>4</xdr:col>
      <xdr:colOff>289832</xdr:colOff>
      <xdr:row>16</xdr:row>
      <xdr:rowOff>58511</xdr:rowOff>
    </xdr:from>
    <xdr:to>
      <xdr:col>5</xdr:col>
      <xdr:colOff>334736</xdr:colOff>
      <xdr:row>17</xdr:row>
      <xdr:rowOff>153761</xdr:rowOff>
    </xdr:to>
    <xdr:sp macro="" textlink="">
      <xdr:nvSpPr>
        <xdr:cNvPr id="4140" name="Rectángulo 4139"/>
        <xdr:cNvSpPr/>
      </xdr:nvSpPr>
      <xdr:spPr>
        <a:xfrm>
          <a:off x="7443107" y="3211286"/>
          <a:ext cx="530679" cy="2857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276225</xdr:colOff>
      <xdr:row>14</xdr:row>
      <xdr:rowOff>99332</xdr:rowOff>
    </xdr:from>
    <xdr:to>
      <xdr:col>5</xdr:col>
      <xdr:colOff>334736</xdr:colOff>
      <xdr:row>15</xdr:row>
      <xdr:rowOff>167368</xdr:rowOff>
    </xdr:to>
    <xdr:sp macro="" textlink="">
      <xdr:nvSpPr>
        <xdr:cNvPr id="4141" name="CuadroTexto 4140"/>
        <xdr:cNvSpPr txBox="1"/>
      </xdr:nvSpPr>
      <xdr:spPr>
        <a:xfrm>
          <a:off x="7429500" y="2871107"/>
          <a:ext cx="544286" cy="258536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Zon</a:t>
          </a:r>
        </a:p>
      </xdr:txBody>
    </xdr:sp>
    <xdr:clientData/>
  </xdr:twoCellAnchor>
  <xdr:twoCellAnchor>
    <xdr:from>
      <xdr:col>6</xdr:col>
      <xdr:colOff>797379</xdr:colOff>
      <xdr:row>15</xdr:row>
      <xdr:rowOff>167368</xdr:rowOff>
    </xdr:from>
    <xdr:to>
      <xdr:col>7</xdr:col>
      <xdr:colOff>281668</xdr:colOff>
      <xdr:row>16</xdr:row>
      <xdr:rowOff>58511</xdr:rowOff>
    </xdr:to>
    <xdr:sp macro="" textlink="">
      <xdr:nvSpPr>
        <xdr:cNvPr id="4142" name="Flecha izquierda 4141"/>
        <xdr:cNvSpPr/>
      </xdr:nvSpPr>
      <xdr:spPr>
        <a:xfrm>
          <a:off x="9198429" y="3129643"/>
          <a:ext cx="503464" cy="81643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742950</xdr:colOff>
      <xdr:row>14</xdr:row>
      <xdr:rowOff>112939</xdr:rowOff>
    </xdr:from>
    <xdr:to>
      <xdr:col>7</xdr:col>
      <xdr:colOff>240846</xdr:colOff>
      <xdr:row>15</xdr:row>
      <xdr:rowOff>99332</xdr:rowOff>
    </xdr:to>
    <xdr:sp macro="" textlink="">
      <xdr:nvSpPr>
        <xdr:cNvPr id="4143" name="CuadroTexto 4142"/>
        <xdr:cNvSpPr txBox="1"/>
      </xdr:nvSpPr>
      <xdr:spPr>
        <a:xfrm>
          <a:off x="9144000" y="2884714"/>
          <a:ext cx="517071" cy="176893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Ion</a:t>
          </a:r>
        </a:p>
      </xdr:txBody>
    </xdr:sp>
    <xdr:clientData/>
  </xdr:twoCellAnchor>
  <xdr:twoCellAnchor>
    <xdr:from>
      <xdr:col>3</xdr:col>
      <xdr:colOff>548368</xdr:colOff>
      <xdr:row>14</xdr:row>
      <xdr:rowOff>17689</xdr:rowOff>
    </xdr:from>
    <xdr:to>
      <xdr:col>10</xdr:col>
      <xdr:colOff>481693</xdr:colOff>
      <xdr:row>17</xdr:row>
      <xdr:rowOff>99332</xdr:rowOff>
    </xdr:to>
    <xdr:sp macro="" textlink="">
      <xdr:nvSpPr>
        <xdr:cNvPr id="4144" name="Rectángulo 4143"/>
        <xdr:cNvSpPr/>
      </xdr:nvSpPr>
      <xdr:spPr>
        <a:xfrm>
          <a:off x="6939643" y="2789464"/>
          <a:ext cx="5524500" cy="6531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44904</xdr:colOff>
      <xdr:row>16</xdr:row>
      <xdr:rowOff>180975</xdr:rowOff>
    </xdr:from>
    <xdr:to>
      <xdr:col>3</xdr:col>
      <xdr:colOff>480332</xdr:colOff>
      <xdr:row>17</xdr:row>
      <xdr:rowOff>72118</xdr:rowOff>
    </xdr:to>
    <xdr:sp macro="" textlink="">
      <xdr:nvSpPr>
        <xdr:cNvPr id="4145" name="Rectángulo 4144"/>
        <xdr:cNvSpPr/>
      </xdr:nvSpPr>
      <xdr:spPr>
        <a:xfrm>
          <a:off x="6436179" y="3333750"/>
          <a:ext cx="435428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153761</xdr:colOff>
      <xdr:row>16</xdr:row>
      <xdr:rowOff>85725</xdr:rowOff>
    </xdr:from>
    <xdr:to>
      <xdr:col>5</xdr:col>
      <xdr:colOff>389164</xdr:colOff>
      <xdr:row>18</xdr:row>
      <xdr:rowOff>99332</xdr:rowOff>
    </xdr:to>
    <xdr:sp macro="" textlink="">
      <xdr:nvSpPr>
        <xdr:cNvPr id="4146" name="Rectángulo 4145"/>
        <xdr:cNvSpPr/>
      </xdr:nvSpPr>
      <xdr:spPr>
        <a:xfrm>
          <a:off x="7307036" y="3238500"/>
          <a:ext cx="721178" cy="394607"/>
        </a:xfrm>
        <a:prstGeom prst="rect">
          <a:avLst/>
        </a:prstGeom>
        <a:solidFill>
          <a:schemeClr val="lt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6"/>
              </a:solidFill>
              <a:prstDash val="solid"/>
              <a:miter lim="800000"/>
            </a14:hiddenLine>
          </a:ext>
        </a:ex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3019425</xdr:colOff>
          <xdr:row>15</xdr:row>
          <xdr:rowOff>85725</xdr:rowOff>
        </xdr:from>
        <xdr:to>
          <xdr:col>1</xdr:col>
          <xdr:colOff>19050</xdr:colOff>
          <xdr:row>17</xdr:row>
          <xdr:rowOff>9525</xdr:rowOff>
        </xdr:to>
        <xdr:sp macro="" textlink="">
          <xdr:nvSpPr>
            <xdr:cNvPr id="23" name="CommandButton1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163" name="Conector recto de flecha 4162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164" name="Flecha izquierda 4163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65" name="CuadroTexto 4164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166" name="Conector recto de flecha 4165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167" name="Flecha izquierda 4166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68" name="CuadroTexto 4167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585107</xdr:colOff>
      <xdr:row>14</xdr:row>
      <xdr:rowOff>122464</xdr:rowOff>
    </xdr:from>
    <xdr:to>
      <xdr:col>10</xdr:col>
      <xdr:colOff>625928</xdr:colOff>
      <xdr:row>17</xdr:row>
      <xdr:rowOff>68036</xdr:rowOff>
    </xdr:to>
    <xdr:sp macro="" textlink="">
      <xdr:nvSpPr>
        <xdr:cNvPr id="4169" name="Rectángulo 4168"/>
        <xdr:cNvSpPr/>
      </xdr:nvSpPr>
      <xdr:spPr>
        <a:xfrm>
          <a:off x="5905500" y="2898321"/>
          <a:ext cx="5633357" cy="517072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54428</xdr:colOff>
      <xdr:row>16</xdr:row>
      <xdr:rowOff>176893</xdr:rowOff>
    </xdr:from>
    <xdr:to>
      <xdr:col>3</xdr:col>
      <xdr:colOff>476250</xdr:colOff>
      <xdr:row>17</xdr:row>
      <xdr:rowOff>54429</xdr:rowOff>
    </xdr:to>
    <xdr:sp macro="" textlink="">
      <xdr:nvSpPr>
        <xdr:cNvPr id="4170" name="Rectángulo 4169"/>
        <xdr:cNvSpPr/>
      </xdr:nvSpPr>
      <xdr:spPr>
        <a:xfrm>
          <a:off x="5374821" y="3333750"/>
          <a:ext cx="421822" cy="68036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15</xdr:row>
          <xdr:rowOff>85725</xdr:rowOff>
        </xdr:from>
        <xdr:to>
          <xdr:col>2</xdr:col>
          <xdr:colOff>57150</xdr:colOff>
          <xdr:row>17</xdr:row>
          <xdr:rowOff>0</xdr:rowOff>
        </xdr:to>
        <xdr:sp macro="" textlink="">
          <xdr:nvSpPr>
            <xdr:cNvPr id="21" name="CommandButton2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172" name="Conector recto de flecha 4171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173" name="Flecha izquierda 417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74" name="CuadroTexto 4173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75" name="Rectángulo 4174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76" name="Rectángulo 4175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6" name="Conector recto de flecha 25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3" name="Flecha izquierda 3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9" name="CuadroTexto 38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0" name="Rectángulo 39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53" name="Rectángulo 5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55" name="Rectángulo 54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56" name="Rectángulo 55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098" name="Conector recto de flecha 4097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099" name="Flecha izquierda 4098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22" name="CuadroTexto 4121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23" name="Rectángulo 4122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36" name="Rectángulo 4135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138" name="Conector recto de flecha 4137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147" name="Flecha izquierda 4146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48" name="CuadroTexto 4147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49" name="Rectángulo 4148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50" name="Rectángulo 4149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51" name="Rectángulo 4150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52" name="Rectángulo 4151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53" name="Rectángulo 4152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54" name="Rectángulo 4153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155" name="Conector recto de flecha 4154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156" name="Flecha izquierda 4155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57" name="CuadroTexto 4156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58" name="Rectángulo 4157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59" name="Rectángulo 4158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160" name="Conector recto de flecha 4159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161" name="Flecha izquierda 4160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62" name="CuadroTexto 4161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71" name="Rectángulo 4170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77" name="Rectángulo 4176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178" name="Conector recto de flecha 4177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179" name="Flecha izquierda 4178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80" name="CuadroTexto 4179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81" name="Rectángulo 4180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82" name="Rectángulo 4181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183" name="Conector recto de flecha 4182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184" name="Flecha izquierda 4183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85" name="CuadroTexto 4184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86" name="Rectángulo 4185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87" name="Rectángulo 4186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188" name="Conector recto de flecha 4187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189" name="Flecha izquierda 4188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90" name="CuadroTexto 4189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91" name="Rectángulo 4190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92" name="Rectángulo 4191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93" name="Rectángulo 4192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94" name="Rectángulo 4193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195" name="Conector recto de flecha 4194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196" name="Flecha izquierda 4195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197" name="CuadroTexto 4196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98" name="Rectángulo 4197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199" name="Rectángulo 4198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00" name="Conector recto de flecha 4199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01" name="Flecha izquierda 4200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02" name="CuadroTexto 4201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03" name="Rectángulo 4202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04" name="Rectángulo 4203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05" name="Conector recto de flecha 4204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06" name="Flecha izquierda 4205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07" name="CuadroTexto 4206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08" name="Rectángulo 4207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09" name="Rectángulo 4208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10" name="Rectángulo 4209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11" name="Rectángulo 4210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12" name="Conector recto de flecha 4211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13" name="Flecha izquierda 421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14" name="CuadroTexto 4213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15" name="Rectángulo 4214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16" name="Rectángulo 4215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17" name="Conector recto de flecha 4216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18" name="Flecha izquierda 4217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19" name="CuadroTexto 4218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20" name="Rectángulo 4219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21" name="Rectángulo 4220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22" name="Conector recto de flecha 4221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23" name="Flecha izquierda 422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24" name="CuadroTexto 4223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25" name="Rectángulo 4224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26" name="Rectángulo 4225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27" name="Rectángulo 422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28" name="Rectángulo 422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29" name="Conector recto de flecha 4228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30" name="Flecha izquierda 422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31" name="CuadroTexto 423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32" name="Rectángulo 423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33" name="Rectángulo 423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34" name="Conector recto de flecha 423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35" name="Flecha izquierda 423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36" name="CuadroTexto 423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37" name="Rectángulo 423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38" name="Rectángulo 423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39" name="Conector recto de flecha 4238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40" name="Flecha izquierda 423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41" name="CuadroTexto 424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42" name="Rectángulo 424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43" name="Rectángulo 424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44" name="Conector recto de flecha 424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45" name="Flecha izquierda 424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46" name="CuadroTexto 424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47" name="Rectángulo 424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48" name="Rectángulo 424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49" name="Conector recto de flecha 4248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50" name="Flecha izquierda 424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51" name="CuadroTexto 425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52" name="Rectángulo 425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53" name="Rectángulo 425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54" name="Conector recto de flecha 425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55" name="Flecha izquierda 425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56" name="CuadroTexto 425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57" name="Conector recto de flecha 4256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58" name="Flecha izquierda 4257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59" name="CuadroTexto 4258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60" name="Rectángulo 4259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61" name="Rectángulo 4260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62" name="Conector recto de flecha 4261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63" name="Flecha izquierda 426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64" name="CuadroTexto 4263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65" name="Rectángulo 4264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66" name="Rectángulo 4265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67" name="Rectángulo 426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68" name="Rectángulo 426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69" name="Conector recto de flecha 4268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70" name="Flecha izquierda 426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71" name="CuadroTexto 427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72" name="Rectángulo 427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73" name="Rectángulo 427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74" name="Conector recto de flecha 427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75" name="Flecha izquierda 427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76" name="CuadroTexto 427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77" name="Rectángulo 427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78" name="Rectángulo 427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79" name="Conector recto de flecha 4278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80" name="Flecha izquierda 427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81" name="CuadroTexto 428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82" name="Rectángulo 428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83" name="Rectángulo 428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84" name="Rectángulo 4283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85" name="Rectángulo 428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86" name="Rectángulo 4285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87" name="Rectángulo 4286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88" name="Conector recto de flecha 4287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89" name="Flecha izquierda 4288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90" name="CuadroTexto 4289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91" name="Rectángulo 4290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92" name="Rectángulo 4291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93" name="Conector recto de flecha 4292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94" name="Flecha izquierda 4293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295" name="CuadroTexto 4294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296" name="Rectángulo 4295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297" name="Rectángulo 4296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298" name="Conector recto de flecha 4297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299" name="Flecha izquierda 4298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00" name="CuadroTexto 4299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137" name="Rectángulo 413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01" name="Rectángulo 4300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02" name="Rectángulo 430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03" name="Rectángulo 430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04" name="Conector recto de flecha 430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05" name="Flecha izquierda 430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06" name="CuadroTexto 430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07" name="Rectángulo 430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08" name="Rectángulo 430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09" name="Conector recto de flecha 4308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10" name="Flecha izquierda 430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11" name="CuadroTexto 431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12" name="Rectángulo 431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13" name="Rectángulo 431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14" name="Conector recto de flecha 431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15" name="Flecha izquierda 431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16" name="CuadroTexto 431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17" name="Rectángulo 431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18" name="Rectángulo 431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19" name="Rectángulo 4318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20" name="Rectángulo 4319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21" name="Conector recto de flecha 4320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22" name="Flecha izquierda 4321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23" name="CuadroTexto 4322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24" name="Rectángulo 4323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25" name="Rectángulo 432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26" name="Conector recto de flecha 4325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27" name="Flecha izquierda 4326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28" name="CuadroTexto 4327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29" name="Rectángulo 4328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30" name="Rectángulo 4329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31" name="Conector recto de flecha 4330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32" name="Flecha izquierda 4331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33" name="CuadroTexto 4332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34" name="Rectángulo 4333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35" name="Rectángulo 433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36" name="Conector recto de flecha 4335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37" name="Flecha izquierda 4336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38" name="CuadroTexto 4337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39" name="Rectángulo 4338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40" name="Rectángulo 4339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41" name="Conector recto de flecha 4340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42" name="Flecha izquierda 4341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43" name="CuadroTexto 4342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44" name="Conector recto de flecha 434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45" name="Flecha izquierda 434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46" name="CuadroTexto 434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47" name="Rectángulo 434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48" name="Rectángulo 434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49" name="Conector recto de flecha 4348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50" name="Flecha izquierda 434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51" name="CuadroTexto 435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52" name="Rectángulo 435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53" name="Rectángulo 435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54" name="Conector recto de flecha 435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55" name="Flecha izquierda 435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56" name="CuadroTexto 435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57" name="Rectángulo 435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58" name="Rectángulo 435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59" name="Conector recto de flecha 4358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60" name="Flecha izquierda 435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61" name="CuadroTexto 436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62" name="Rectángulo 436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63" name="Rectángulo 436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64" name="Conector recto de flecha 436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65" name="Flecha izquierda 436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66" name="CuadroTexto 436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67" name="Rectángulo 436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68" name="Rectángulo 436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69" name="Conector recto de flecha 4368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70" name="Flecha izquierda 436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71" name="CuadroTexto 437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72" name="Rectángulo 437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73" name="Rectángulo 437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74" name="Conector recto de flecha 437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75" name="Flecha izquierda 437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76" name="CuadroTexto 437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77" name="Rectángulo 437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78" name="Rectángulo 437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79" name="Conector recto de flecha 4378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80" name="Flecha izquierda 437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81" name="CuadroTexto 438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82" name="Rectángulo 438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83" name="Rectángulo 438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84" name="Conector recto de flecha 4383"/>
        <xdr:cNvCxnSpPr>
          <a:stCxn id="4127" idx="1"/>
          <a:endCxn id="7" idx="3"/>
        </xdr:cNvCxnSpPr>
      </xdr:nvCxnSpPr>
      <xdr:spPr>
        <a:xfrm flipV="1">
          <a:off x="5328557" y="33500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4385" name="Flecha izquierda 438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4386" name="CuadroTexto 438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14</xdr:row>
      <xdr:rowOff>126546</xdr:rowOff>
    </xdr:from>
    <xdr:to>
      <xdr:col>10</xdr:col>
      <xdr:colOff>623207</xdr:colOff>
      <xdr:row>17</xdr:row>
      <xdr:rowOff>72118</xdr:rowOff>
    </xdr:to>
    <xdr:sp macro="" textlink="">
      <xdr:nvSpPr>
        <xdr:cNvPr id="4387" name="Rectángulo 438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4388" name="Rectángulo 438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89" name="Conector recto de flecha 4388"/>
        <xdr:cNvCxnSpPr>
          <a:stCxn id="4127" idx="1"/>
          <a:endCxn id="7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14</xdr:row>
      <xdr:rowOff>143420</xdr:rowOff>
    </xdr:from>
    <xdr:to>
      <xdr:col>8</xdr:col>
      <xdr:colOff>368754</xdr:colOff>
      <xdr:row>14</xdr:row>
      <xdr:rowOff>189139</xdr:rowOff>
    </xdr:to>
    <xdr:sp macro="" textlink="">
      <xdr:nvSpPr>
        <xdr:cNvPr id="4390" name="Flecha izquierda 438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12</xdr:row>
      <xdr:rowOff>161925</xdr:rowOff>
    </xdr:from>
    <xdr:to>
      <xdr:col>8</xdr:col>
      <xdr:colOff>423182</xdr:colOff>
      <xdr:row>14</xdr:row>
      <xdr:rowOff>12246</xdr:rowOff>
    </xdr:to>
    <xdr:sp macro="" textlink="">
      <xdr:nvSpPr>
        <xdr:cNvPr id="4391" name="CuadroTexto 439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92" name="Conector recto de flecha 4391"/>
        <xdr:cNvCxnSpPr>
          <a:stCxn id="4127" idx="1"/>
          <a:endCxn id="7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14</xdr:row>
      <xdr:rowOff>143420</xdr:rowOff>
    </xdr:from>
    <xdr:to>
      <xdr:col>8</xdr:col>
      <xdr:colOff>368754</xdr:colOff>
      <xdr:row>14</xdr:row>
      <xdr:rowOff>189139</xdr:rowOff>
    </xdr:to>
    <xdr:sp macro="" textlink="">
      <xdr:nvSpPr>
        <xdr:cNvPr id="4393" name="Flecha izquierda 439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12</xdr:row>
      <xdr:rowOff>161925</xdr:rowOff>
    </xdr:from>
    <xdr:to>
      <xdr:col>8</xdr:col>
      <xdr:colOff>423182</xdr:colOff>
      <xdr:row>14</xdr:row>
      <xdr:rowOff>12246</xdr:rowOff>
    </xdr:to>
    <xdr:sp macro="" textlink="">
      <xdr:nvSpPr>
        <xdr:cNvPr id="4394" name="CuadroTexto 4393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13</xdr:row>
      <xdr:rowOff>12246</xdr:rowOff>
    </xdr:from>
    <xdr:to>
      <xdr:col>10</xdr:col>
      <xdr:colOff>623207</xdr:colOff>
      <xdr:row>15</xdr:row>
      <xdr:rowOff>148318</xdr:rowOff>
    </xdr:to>
    <xdr:sp macro="" textlink="">
      <xdr:nvSpPr>
        <xdr:cNvPr id="4395" name="Rectángulo 4394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4396" name="Rectángulo 4395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397" name="Conector recto de flecha 4396"/>
        <xdr:cNvCxnSpPr>
          <a:stCxn id="4127" idx="1"/>
          <a:endCxn id="7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14</xdr:row>
      <xdr:rowOff>143420</xdr:rowOff>
    </xdr:from>
    <xdr:to>
      <xdr:col>8</xdr:col>
      <xdr:colOff>368754</xdr:colOff>
      <xdr:row>14</xdr:row>
      <xdr:rowOff>189139</xdr:rowOff>
    </xdr:to>
    <xdr:sp macro="" textlink="">
      <xdr:nvSpPr>
        <xdr:cNvPr id="4398" name="Flecha izquierda 4397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12</xdr:row>
      <xdr:rowOff>161925</xdr:rowOff>
    </xdr:from>
    <xdr:to>
      <xdr:col>8</xdr:col>
      <xdr:colOff>423182</xdr:colOff>
      <xdr:row>14</xdr:row>
      <xdr:rowOff>12246</xdr:rowOff>
    </xdr:to>
    <xdr:sp macro="" textlink="">
      <xdr:nvSpPr>
        <xdr:cNvPr id="4399" name="CuadroTexto 4398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13</xdr:row>
      <xdr:rowOff>12246</xdr:rowOff>
    </xdr:from>
    <xdr:to>
      <xdr:col>10</xdr:col>
      <xdr:colOff>623207</xdr:colOff>
      <xdr:row>15</xdr:row>
      <xdr:rowOff>148318</xdr:rowOff>
    </xdr:to>
    <xdr:sp macro="" textlink="">
      <xdr:nvSpPr>
        <xdr:cNvPr id="4400" name="Rectángulo 4399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4401" name="Rectángulo 4400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02" name="Conector recto de flecha 4401"/>
        <xdr:cNvCxnSpPr>
          <a:stCxn id="4127" idx="1"/>
          <a:endCxn id="7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14</xdr:row>
      <xdr:rowOff>143420</xdr:rowOff>
    </xdr:from>
    <xdr:to>
      <xdr:col>8</xdr:col>
      <xdr:colOff>368754</xdr:colOff>
      <xdr:row>14</xdr:row>
      <xdr:rowOff>189139</xdr:rowOff>
    </xdr:to>
    <xdr:sp macro="" textlink="">
      <xdr:nvSpPr>
        <xdr:cNvPr id="4403" name="Flecha izquierda 440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12</xdr:row>
      <xdr:rowOff>161925</xdr:rowOff>
    </xdr:from>
    <xdr:to>
      <xdr:col>8</xdr:col>
      <xdr:colOff>423182</xdr:colOff>
      <xdr:row>14</xdr:row>
      <xdr:rowOff>12246</xdr:rowOff>
    </xdr:to>
    <xdr:sp macro="" textlink="">
      <xdr:nvSpPr>
        <xdr:cNvPr id="4404" name="CuadroTexto 4403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05" name="Conector recto de flecha 4404"/>
        <xdr:cNvCxnSpPr>
          <a:stCxn id="4127" idx="1"/>
          <a:endCxn id="7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14</xdr:row>
      <xdr:rowOff>143420</xdr:rowOff>
    </xdr:from>
    <xdr:to>
      <xdr:col>8</xdr:col>
      <xdr:colOff>368754</xdr:colOff>
      <xdr:row>14</xdr:row>
      <xdr:rowOff>189139</xdr:rowOff>
    </xdr:to>
    <xdr:sp macro="" textlink="">
      <xdr:nvSpPr>
        <xdr:cNvPr id="4406" name="Flecha izquierda 4405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12</xdr:row>
      <xdr:rowOff>161925</xdr:rowOff>
    </xdr:from>
    <xdr:to>
      <xdr:col>8</xdr:col>
      <xdr:colOff>423182</xdr:colOff>
      <xdr:row>14</xdr:row>
      <xdr:rowOff>12246</xdr:rowOff>
    </xdr:to>
    <xdr:sp macro="" textlink="">
      <xdr:nvSpPr>
        <xdr:cNvPr id="4407" name="CuadroTexto 4406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13</xdr:row>
      <xdr:rowOff>12246</xdr:rowOff>
    </xdr:from>
    <xdr:to>
      <xdr:col>10</xdr:col>
      <xdr:colOff>623207</xdr:colOff>
      <xdr:row>15</xdr:row>
      <xdr:rowOff>148318</xdr:rowOff>
    </xdr:to>
    <xdr:sp macro="" textlink="">
      <xdr:nvSpPr>
        <xdr:cNvPr id="4408" name="Rectángulo 4407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4409" name="Rectángulo 4408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13</xdr:row>
      <xdr:rowOff>12246</xdr:rowOff>
    </xdr:from>
    <xdr:to>
      <xdr:col>10</xdr:col>
      <xdr:colOff>623207</xdr:colOff>
      <xdr:row>15</xdr:row>
      <xdr:rowOff>148318</xdr:rowOff>
    </xdr:to>
    <xdr:sp macro="" textlink="">
      <xdr:nvSpPr>
        <xdr:cNvPr id="4410" name="Rectángulo 4409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4411" name="Rectángulo 4410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12" name="Conector recto de flecha 4411"/>
        <xdr:cNvCxnSpPr>
          <a:stCxn id="4127" idx="1"/>
          <a:endCxn id="7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14</xdr:row>
      <xdr:rowOff>143420</xdr:rowOff>
    </xdr:from>
    <xdr:to>
      <xdr:col>8</xdr:col>
      <xdr:colOff>368754</xdr:colOff>
      <xdr:row>14</xdr:row>
      <xdr:rowOff>189139</xdr:rowOff>
    </xdr:to>
    <xdr:sp macro="" textlink="">
      <xdr:nvSpPr>
        <xdr:cNvPr id="4413" name="Flecha izquierda 441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12</xdr:row>
      <xdr:rowOff>161925</xdr:rowOff>
    </xdr:from>
    <xdr:to>
      <xdr:col>8</xdr:col>
      <xdr:colOff>423182</xdr:colOff>
      <xdr:row>14</xdr:row>
      <xdr:rowOff>12246</xdr:rowOff>
    </xdr:to>
    <xdr:sp macro="" textlink="">
      <xdr:nvSpPr>
        <xdr:cNvPr id="4414" name="CuadroTexto 4413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13</xdr:row>
      <xdr:rowOff>12246</xdr:rowOff>
    </xdr:from>
    <xdr:to>
      <xdr:col>10</xdr:col>
      <xdr:colOff>623207</xdr:colOff>
      <xdr:row>15</xdr:row>
      <xdr:rowOff>148318</xdr:rowOff>
    </xdr:to>
    <xdr:sp macro="" textlink="">
      <xdr:nvSpPr>
        <xdr:cNvPr id="4415" name="Rectángulo 4414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4416" name="Rectángulo 4415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581025</xdr:colOff>
      <xdr:row>13</xdr:row>
      <xdr:rowOff>12246</xdr:rowOff>
    </xdr:from>
    <xdr:to>
      <xdr:col>10</xdr:col>
      <xdr:colOff>623207</xdr:colOff>
      <xdr:row>15</xdr:row>
      <xdr:rowOff>148318</xdr:rowOff>
    </xdr:to>
    <xdr:sp macro="" textlink="">
      <xdr:nvSpPr>
        <xdr:cNvPr id="4417" name="Rectángulo 441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4418" name="Rectángulo 441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19" name="Conector recto de flecha 4418"/>
        <xdr:cNvCxnSpPr>
          <a:stCxn id="4127" idx="1"/>
          <a:endCxn id="7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14</xdr:row>
      <xdr:rowOff>143420</xdr:rowOff>
    </xdr:from>
    <xdr:to>
      <xdr:col>8</xdr:col>
      <xdr:colOff>368754</xdr:colOff>
      <xdr:row>14</xdr:row>
      <xdr:rowOff>189139</xdr:rowOff>
    </xdr:to>
    <xdr:sp macro="" textlink="">
      <xdr:nvSpPr>
        <xdr:cNvPr id="4420" name="Flecha izquierda 441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12</xdr:row>
      <xdr:rowOff>161925</xdr:rowOff>
    </xdr:from>
    <xdr:to>
      <xdr:col>8</xdr:col>
      <xdr:colOff>423182</xdr:colOff>
      <xdr:row>14</xdr:row>
      <xdr:rowOff>12246</xdr:rowOff>
    </xdr:to>
    <xdr:sp macro="" textlink="">
      <xdr:nvSpPr>
        <xdr:cNvPr id="4421" name="CuadroTexto 442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13</xdr:row>
      <xdr:rowOff>12246</xdr:rowOff>
    </xdr:from>
    <xdr:to>
      <xdr:col>10</xdr:col>
      <xdr:colOff>623207</xdr:colOff>
      <xdr:row>15</xdr:row>
      <xdr:rowOff>148318</xdr:rowOff>
    </xdr:to>
    <xdr:sp macro="" textlink="">
      <xdr:nvSpPr>
        <xdr:cNvPr id="4422" name="Rectángulo 442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4423" name="Rectángulo 442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24" name="Conector recto de flecha 4423"/>
        <xdr:cNvCxnSpPr>
          <a:stCxn id="4127" idx="1"/>
          <a:endCxn id="7" idx="3"/>
        </xdr:cNvCxnSpPr>
      </xdr:nvCxnSpPr>
      <xdr:spPr>
        <a:xfrm flipV="1">
          <a:off x="5328557" y="3950154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13</xdr:row>
      <xdr:rowOff>38645</xdr:rowOff>
    </xdr:from>
    <xdr:to>
      <xdr:col>8</xdr:col>
      <xdr:colOff>368754</xdr:colOff>
      <xdr:row>13</xdr:row>
      <xdr:rowOff>84364</xdr:rowOff>
    </xdr:to>
    <xdr:sp macro="" textlink="">
      <xdr:nvSpPr>
        <xdr:cNvPr id="4425" name="Flecha izquierda 442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11</xdr:row>
      <xdr:rowOff>57150</xdr:rowOff>
    </xdr:from>
    <xdr:to>
      <xdr:col>8</xdr:col>
      <xdr:colOff>423182</xdr:colOff>
      <xdr:row>12</xdr:row>
      <xdr:rowOff>97971</xdr:rowOff>
    </xdr:to>
    <xdr:sp macro="" textlink="">
      <xdr:nvSpPr>
        <xdr:cNvPr id="4426" name="CuadroTexto 442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11</xdr:row>
      <xdr:rowOff>97971</xdr:rowOff>
    </xdr:from>
    <xdr:to>
      <xdr:col>10</xdr:col>
      <xdr:colOff>623207</xdr:colOff>
      <xdr:row>14</xdr:row>
      <xdr:rowOff>43543</xdr:rowOff>
    </xdr:to>
    <xdr:sp macro="" textlink="">
      <xdr:nvSpPr>
        <xdr:cNvPr id="4427" name="Rectángulo 442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13</xdr:row>
      <xdr:rowOff>152400</xdr:rowOff>
    </xdr:from>
    <xdr:to>
      <xdr:col>3</xdr:col>
      <xdr:colOff>472168</xdr:colOff>
      <xdr:row>14</xdr:row>
      <xdr:rowOff>29936</xdr:rowOff>
    </xdr:to>
    <xdr:sp macro="" textlink="">
      <xdr:nvSpPr>
        <xdr:cNvPr id="4428" name="Rectángulo 442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29" name="Conector recto de flecha 4428"/>
        <xdr:cNvCxnSpPr>
          <a:stCxn id="4127" idx="1"/>
          <a:endCxn id="7" idx="3"/>
        </xdr:cNvCxnSpPr>
      </xdr:nvCxnSpPr>
      <xdr:spPr>
        <a:xfrm flipV="1">
          <a:off x="5328557" y="36929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14</xdr:row>
      <xdr:rowOff>105320</xdr:rowOff>
    </xdr:from>
    <xdr:to>
      <xdr:col>8</xdr:col>
      <xdr:colOff>368754</xdr:colOff>
      <xdr:row>14</xdr:row>
      <xdr:rowOff>151039</xdr:rowOff>
    </xdr:to>
    <xdr:sp macro="" textlink="">
      <xdr:nvSpPr>
        <xdr:cNvPr id="4430" name="Flecha izquierda 442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12</xdr:row>
      <xdr:rowOff>123825</xdr:rowOff>
    </xdr:from>
    <xdr:to>
      <xdr:col>8</xdr:col>
      <xdr:colOff>423182</xdr:colOff>
      <xdr:row>13</xdr:row>
      <xdr:rowOff>164646</xdr:rowOff>
    </xdr:to>
    <xdr:sp macro="" textlink="">
      <xdr:nvSpPr>
        <xdr:cNvPr id="4431" name="CuadroTexto 443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12</xdr:row>
      <xdr:rowOff>164646</xdr:rowOff>
    </xdr:from>
    <xdr:to>
      <xdr:col>10</xdr:col>
      <xdr:colOff>623207</xdr:colOff>
      <xdr:row>15</xdr:row>
      <xdr:rowOff>110218</xdr:rowOff>
    </xdr:to>
    <xdr:sp macro="" textlink="">
      <xdr:nvSpPr>
        <xdr:cNvPr id="4432" name="Rectángulo 4431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15</xdr:row>
      <xdr:rowOff>28575</xdr:rowOff>
    </xdr:from>
    <xdr:to>
      <xdr:col>3</xdr:col>
      <xdr:colOff>472168</xdr:colOff>
      <xdr:row>15</xdr:row>
      <xdr:rowOff>96611</xdr:rowOff>
    </xdr:to>
    <xdr:sp macro="" textlink="">
      <xdr:nvSpPr>
        <xdr:cNvPr id="4433" name="Rectángulo 4432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34" name="Conector recto de flecha 4433"/>
        <xdr:cNvCxnSpPr>
          <a:stCxn id="4127" idx="1"/>
          <a:endCxn id="7" idx="3"/>
        </xdr:cNvCxnSpPr>
      </xdr:nvCxnSpPr>
      <xdr:spPr>
        <a:xfrm flipV="1">
          <a:off x="5328557" y="36929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14</xdr:row>
      <xdr:rowOff>105320</xdr:rowOff>
    </xdr:from>
    <xdr:to>
      <xdr:col>8</xdr:col>
      <xdr:colOff>368754</xdr:colOff>
      <xdr:row>14</xdr:row>
      <xdr:rowOff>151039</xdr:rowOff>
    </xdr:to>
    <xdr:sp macro="" textlink="">
      <xdr:nvSpPr>
        <xdr:cNvPr id="4435" name="Flecha izquierda 4434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12</xdr:row>
      <xdr:rowOff>123825</xdr:rowOff>
    </xdr:from>
    <xdr:to>
      <xdr:col>8</xdr:col>
      <xdr:colOff>423182</xdr:colOff>
      <xdr:row>13</xdr:row>
      <xdr:rowOff>164646</xdr:rowOff>
    </xdr:to>
    <xdr:sp macro="" textlink="">
      <xdr:nvSpPr>
        <xdr:cNvPr id="4436" name="CuadroTexto 4435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12</xdr:row>
      <xdr:rowOff>164646</xdr:rowOff>
    </xdr:from>
    <xdr:to>
      <xdr:col>10</xdr:col>
      <xdr:colOff>518432</xdr:colOff>
      <xdr:row>15</xdr:row>
      <xdr:rowOff>110218</xdr:rowOff>
    </xdr:to>
    <xdr:sp macro="" textlink="">
      <xdr:nvSpPr>
        <xdr:cNvPr id="4437" name="Rectángulo 443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15</xdr:row>
      <xdr:rowOff>28575</xdr:rowOff>
    </xdr:from>
    <xdr:to>
      <xdr:col>3</xdr:col>
      <xdr:colOff>472168</xdr:colOff>
      <xdr:row>15</xdr:row>
      <xdr:rowOff>96611</xdr:rowOff>
    </xdr:to>
    <xdr:sp macro="" textlink="">
      <xdr:nvSpPr>
        <xdr:cNvPr id="4438" name="Rectángulo 443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39" name="Conector recto de flecha 4438"/>
        <xdr:cNvCxnSpPr>
          <a:stCxn id="4127" idx="1"/>
          <a:endCxn id="7" idx="3"/>
        </xdr:cNvCxnSpPr>
      </xdr:nvCxnSpPr>
      <xdr:spPr>
        <a:xfrm flipV="1">
          <a:off x="5328557" y="36929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14</xdr:row>
      <xdr:rowOff>105320</xdr:rowOff>
    </xdr:from>
    <xdr:to>
      <xdr:col>8</xdr:col>
      <xdr:colOff>368754</xdr:colOff>
      <xdr:row>14</xdr:row>
      <xdr:rowOff>151039</xdr:rowOff>
    </xdr:to>
    <xdr:sp macro="" textlink="">
      <xdr:nvSpPr>
        <xdr:cNvPr id="4440" name="Flecha izquierda 443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12</xdr:row>
      <xdr:rowOff>123825</xdr:rowOff>
    </xdr:from>
    <xdr:to>
      <xdr:col>8</xdr:col>
      <xdr:colOff>423182</xdr:colOff>
      <xdr:row>13</xdr:row>
      <xdr:rowOff>164646</xdr:rowOff>
    </xdr:to>
    <xdr:sp macro="" textlink="">
      <xdr:nvSpPr>
        <xdr:cNvPr id="4441" name="CuadroTexto 4440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42" name="Conector recto de flecha 4441"/>
        <xdr:cNvCxnSpPr>
          <a:stCxn id="4127" idx="1"/>
          <a:endCxn id="7" idx="3"/>
        </xdr:cNvCxnSpPr>
      </xdr:nvCxnSpPr>
      <xdr:spPr>
        <a:xfrm flipV="1">
          <a:off x="532855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13</xdr:row>
      <xdr:rowOff>152945</xdr:rowOff>
    </xdr:from>
    <xdr:to>
      <xdr:col>8</xdr:col>
      <xdr:colOff>368754</xdr:colOff>
      <xdr:row>14</xdr:row>
      <xdr:rowOff>8164</xdr:rowOff>
    </xdr:to>
    <xdr:sp macro="" textlink="">
      <xdr:nvSpPr>
        <xdr:cNvPr id="4443" name="Flecha izquierda 444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11</xdr:row>
      <xdr:rowOff>219075</xdr:rowOff>
    </xdr:from>
    <xdr:to>
      <xdr:col>8</xdr:col>
      <xdr:colOff>423182</xdr:colOff>
      <xdr:row>13</xdr:row>
      <xdr:rowOff>21771</xdr:rowOff>
    </xdr:to>
    <xdr:sp macro="" textlink="">
      <xdr:nvSpPr>
        <xdr:cNvPr id="4444" name="CuadroTexto 4443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12</xdr:row>
      <xdr:rowOff>21771</xdr:rowOff>
    </xdr:from>
    <xdr:to>
      <xdr:col>10</xdr:col>
      <xdr:colOff>518432</xdr:colOff>
      <xdr:row>14</xdr:row>
      <xdr:rowOff>157843</xdr:rowOff>
    </xdr:to>
    <xdr:sp macro="" textlink="">
      <xdr:nvSpPr>
        <xdr:cNvPr id="4445" name="Rectángulo 4444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14</xdr:row>
      <xdr:rowOff>76200</xdr:rowOff>
    </xdr:from>
    <xdr:to>
      <xdr:col>3</xdr:col>
      <xdr:colOff>472168</xdr:colOff>
      <xdr:row>14</xdr:row>
      <xdr:rowOff>144236</xdr:rowOff>
    </xdr:to>
    <xdr:sp macro="" textlink="">
      <xdr:nvSpPr>
        <xdr:cNvPr id="4446" name="Rectángulo 4445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47" name="Conector recto de flecha 4446"/>
        <xdr:cNvCxnSpPr>
          <a:stCxn id="4127" idx="1"/>
          <a:endCxn id="7" idx="3"/>
        </xdr:cNvCxnSpPr>
      </xdr:nvCxnSpPr>
      <xdr:spPr>
        <a:xfrm flipV="1">
          <a:off x="532855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13</xdr:row>
      <xdr:rowOff>152945</xdr:rowOff>
    </xdr:from>
    <xdr:to>
      <xdr:col>8</xdr:col>
      <xdr:colOff>368754</xdr:colOff>
      <xdr:row>14</xdr:row>
      <xdr:rowOff>8164</xdr:rowOff>
    </xdr:to>
    <xdr:sp macro="" textlink="">
      <xdr:nvSpPr>
        <xdr:cNvPr id="4448" name="Flecha izquierda 4447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11</xdr:row>
      <xdr:rowOff>219075</xdr:rowOff>
    </xdr:from>
    <xdr:to>
      <xdr:col>8</xdr:col>
      <xdr:colOff>423182</xdr:colOff>
      <xdr:row>13</xdr:row>
      <xdr:rowOff>21771</xdr:rowOff>
    </xdr:to>
    <xdr:sp macro="" textlink="">
      <xdr:nvSpPr>
        <xdr:cNvPr id="4449" name="CuadroTexto 4448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12</xdr:row>
      <xdr:rowOff>21771</xdr:rowOff>
    </xdr:from>
    <xdr:to>
      <xdr:col>10</xdr:col>
      <xdr:colOff>518432</xdr:colOff>
      <xdr:row>14</xdr:row>
      <xdr:rowOff>157843</xdr:rowOff>
    </xdr:to>
    <xdr:sp macro="" textlink="">
      <xdr:nvSpPr>
        <xdr:cNvPr id="4450" name="Rectángulo 4449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14</xdr:row>
      <xdr:rowOff>76200</xdr:rowOff>
    </xdr:from>
    <xdr:to>
      <xdr:col>3</xdr:col>
      <xdr:colOff>472168</xdr:colOff>
      <xdr:row>14</xdr:row>
      <xdr:rowOff>144236</xdr:rowOff>
    </xdr:to>
    <xdr:sp macro="" textlink="">
      <xdr:nvSpPr>
        <xdr:cNvPr id="4451" name="Rectángulo 4450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52" name="Conector recto de flecha 4451"/>
        <xdr:cNvCxnSpPr>
          <a:stCxn id="4127" idx="1"/>
          <a:endCxn id="7" idx="3"/>
        </xdr:cNvCxnSpPr>
      </xdr:nvCxnSpPr>
      <xdr:spPr>
        <a:xfrm flipV="1">
          <a:off x="532855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13</xdr:row>
      <xdr:rowOff>152945</xdr:rowOff>
    </xdr:from>
    <xdr:to>
      <xdr:col>8</xdr:col>
      <xdr:colOff>368754</xdr:colOff>
      <xdr:row>14</xdr:row>
      <xdr:rowOff>8164</xdr:rowOff>
    </xdr:to>
    <xdr:sp macro="" textlink="">
      <xdr:nvSpPr>
        <xdr:cNvPr id="4453" name="Flecha izquierda 445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11</xdr:row>
      <xdr:rowOff>219075</xdr:rowOff>
    </xdr:from>
    <xdr:to>
      <xdr:col>8</xdr:col>
      <xdr:colOff>423182</xdr:colOff>
      <xdr:row>13</xdr:row>
      <xdr:rowOff>21771</xdr:rowOff>
    </xdr:to>
    <xdr:sp macro="" textlink="">
      <xdr:nvSpPr>
        <xdr:cNvPr id="4454" name="CuadroTexto 4453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12</xdr:row>
      <xdr:rowOff>21771</xdr:rowOff>
    </xdr:from>
    <xdr:to>
      <xdr:col>10</xdr:col>
      <xdr:colOff>518432</xdr:colOff>
      <xdr:row>14</xdr:row>
      <xdr:rowOff>157843</xdr:rowOff>
    </xdr:to>
    <xdr:sp macro="" textlink="">
      <xdr:nvSpPr>
        <xdr:cNvPr id="4455" name="Rectángulo 4454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14</xdr:row>
      <xdr:rowOff>76200</xdr:rowOff>
    </xdr:from>
    <xdr:to>
      <xdr:col>3</xdr:col>
      <xdr:colOff>472168</xdr:colOff>
      <xdr:row>14</xdr:row>
      <xdr:rowOff>144236</xdr:rowOff>
    </xdr:to>
    <xdr:sp macro="" textlink="">
      <xdr:nvSpPr>
        <xdr:cNvPr id="4456" name="Rectángulo 4455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57" name="Conector recto de flecha 4456"/>
        <xdr:cNvCxnSpPr>
          <a:stCxn id="4127" idx="1"/>
          <a:endCxn id="7" idx="3"/>
        </xdr:cNvCxnSpPr>
      </xdr:nvCxnSpPr>
      <xdr:spPr>
        <a:xfrm flipV="1">
          <a:off x="532855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13</xdr:row>
      <xdr:rowOff>152945</xdr:rowOff>
    </xdr:from>
    <xdr:to>
      <xdr:col>8</xdr:col>
      <xdr:colOff>368754</xdr:colOff>
      <xdr:row>14</xdr:row>
      <xdr:rowOff>8164</xdr:rowOff>
    </xdr:to>
    <xdr:sp macro="" textlink="">
      <xdr:nvSpPr>
        <xdr:cNvPr id="4458" name="Flecha izquierda 4457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11</xdr:row>
      <xdr:rowOff>219075</xdr:rowOff>
    </xdr:from>
    <xdr:to>
      <xdr:col>8</xdr:col>
      <xdr:colOff>423182</xdr:colOff>
      <xdr:row>13</xdr:row>
      <xdr:rowOff>21771</xdr:rowOff>
    </xdr:to>
    <xdr:sp macro="" textlink="">
      <xdr:nvSpPr>
        <xdr:cNvPr id="4459" name="CuadroTexto 4458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12</xdr:row>
      <xdr:rowOff>21771</xdr:rowOff>
    </xdr:from>
    <xdr:to>
      <xdr:col>10</xdr:col>
      <xdr:colOff>518432</xdr:colOff>
      <xdr:row>14</xdr:row>
      <xdr:rowOff>157843</xdr:rowOff>
    </xdr:to>
    <xdr:sp macro="" textlink="">
      <xdr:nvSpPr>
        <xdr:cNvPr id="4460" name="Rectángulo 4459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14</xdr:row>
      <xdr:rowOff>76200</xdr:rowOff>
    </xdr:from>
    <xdr:to>
      <xdr:col>3</xdr:col>
      <xdr:colOff>472168</xdr:colOff>
      <xdr:row>14</xdr:row>
      <xdr:rowOff>144236</xdr:rowOff>
    </xdr:to>
    <xdr:sp macro="" textlink="">
      <xdr:nvSpPr>
        <xdr:cNvPr id="4461" name="Rectángulo 4460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62" name="Conector recto de flecha 4461"/>
        <xdr:cNvCxnSpPr>
          <a:stCxn id="4127" idx="1"/>
          <a:endCxn id="7" idx="3"/>
        </xdr:cNvCxnSpPr>
      </xdr:nvCxnSpPr>
      <xdr:spPr>
        <a:xfrm flipV="1">
          <a:off x="532855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13</xdr:row>
      <xdr:rowOff>152945</xdr:rowOff>
    </xdr:from>
    <xdr:to>
      <xdr:col>8</xdr:col>
      <xdr:colOff>368754</xdr:colOff>
      <xdr:row>14</xdr:row>
      <xdr:rowOff>8164</xdr:rowOff>
    </xdr:to>
    <xdr:sp macro="" textlink="">
      <xdr:nvSpPr>
        <xdr:cNvPr id="4463" name="Flecha izquierda 4462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11</xdr:row>
      <xdr:rowOff>219075</xdr:rowOff>
    </xdr:from>
    <xdr:to>
      <xdr:col>8</xdr:col>
      <xdr:colOff>423182</xdr:colOff>
      <xdr:row>13</xdr:row>
      <xdr:rowOff>21771</xdr:rowOff>
    </xdr:to>
    <xdr:sp macro="" textlink="">
      <xdr:nvSpPr>
        <xdr:cNvPr id="4464" name="CuadroTexto 4463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65" name="Conector recto de flecha 4464"/>
        <xdr:cNvCxnSpPr>
          <a:stCxn id="4127" idx="1"/>
          <a:endCxn id="7" idx="3"/>
        </xdr:cNvCxnSpPr>
      </xdr:nvCxnSpPr>
      <xdr:spPr>
        <a:xfrm flipV="1">
          <a:off x="532855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13</xdr:row>
      <xdr:rowOff>152945</xdr:rowOff>
    </xdr:from>
    <xdr:to>
      <xdr:col>8</xdr:col>
      <xdr:colOff>368754</xdr:colOff>
      <xdr:row>14</xdr:row>
      <xdr:rowOff>8164</xdr:rowOff>
    </xdr:to>
    <xdr:sp macro="" textlink="">
      <xdr:nvSpPr>
        <xdr:cNvPr id="4466" name="Flecha izquierda 4465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11</xdr:row>
      <xdr:rowOff>219075</xdr:rowOff>
    </xdr:from>
    <xdr:to>
      <xdr:col>8</xdr:col>
      <xdr:colOff>423182</xdr:colOff>
      <xdr:row>13</xdr:row>
      <xdr:rowOff>21771</xdr:rowOff>
    </xdr:to>
    <xdr:sp macro="" textlink="">
      <xdr:nvSpPr>
        <xdr:cNvPr id="4467" name="CuadroTexto 4466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581025</xdr:colOff>
      <xdr:row>12</xdr:row>
      <xdr:rowOff>21771</xdr:rowOff>
    </xdr:from>
    <xdr:to>
      <xdr:col>10</xdr:col>
      <xdr:colOff>518432</xdr:colOff>
      <xdr:row>14</xdr:row>
      <xdr:rowOff>157843</xdr:rowOff>
    </xdr:to>
    <xdr:sp macro="" textlink="">
      <xdr:nvSpPr>
        <xdr:cNvPr id="4468" name="Rectángulo 4467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14</xdr:row>
      <xdr:rowOff>76200</xdr:rowOff>
    </xdr:from>
    <xdr:to>
      <xdr:col>3</xdr:col>
      <xdr:colOff>472168</xdr:colOff>
      <xdr:row>14</xdr:row>
      <xdr:rowOff>144236</xdr:rowOff>
    </xdr:to>
    <xdr:sp macro="" textlink="">
      <xdr:nvSpPr>
        <xdr:cNvPr id="4469" name="Rectángulo 4468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70" name="Conector recto de flecha 4469"/>
        <xdr:cNvCxnSpPr>
          <a:stCxn id="4127" idx="1"/>
          <a:endCxn id="7" idx="3"/>
        </xdr:cNvCxnSpPr>
      </xdr:nvCxnSpPr>
      <xdr:spPr>
        <a:xfrm flipV="1">
          <a:off x="532855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13</xdr:row>
      <xdr:rowOff>152945</xdr:rowOff>
    </xdr:from>
    <xdr:to>
      <xdr:col>8</xdr:col>
      <xdr:colOff>368754</xdr:colOff>
      <xdr:row>14</xdr:row>
      <xdr:rowOff>8164</xdr:rowOff>
    </xdr:to>
    <xdr:sp macro="" textlink="">
      <xdr:nvSpPr>
        <xdr:cNvPr id="4471" name="Flecha izquierda 4470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11</xdr:row>
      <xdr:rowOff>219075</xdr:rowOff>
    </xdr:from>
    <xdr:to>
      <xdr:col>8</xdr:col>
      <xdr:colOff>423182</xdr:colOff>
      <xdr:row>13</xdr:row>
      <xdr:rowOff>21771</xdr:rowOff>
    </xdr:to>
    <xdr:sp macro="" textlink="">
      <xdr:nvSpPr>
        <xdr:cNvPr id="4472" name="CuadroTexto 4471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73" name="Conector recto de flecha 4472"/>
        <xdr:cNvCxnSpPr>
          <a:stCxn id="4127" idx="1"/>
          <a:endCxn id="7" idx="3"/>
        </xdr:cNvCxnSpPr>
      </xdr:nvCxnSpPr>
      <xdr:spPr>
        <a:xfrm flipV="1">
          <a:off x="530950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152945</xdr:rowOff>
    </xdr:from>
    <xdr:to>
      <xdr:col>8</xdr:col>
      <xdr:colOff>387804</xdr:colOff>
      <xdr:row>14</xdr:row>
      <xdr:rowOff>8164</xdr:rowOff>
    </xdr:to>
    <xdr:sp macro="" textlink="">
      <xdr:nvSpPr>
        <xdr:cNvPr id="4474" name="Flecha izquierda 4473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219075</xdr:rowOff>
    </xdr:from>
    <xdr:to>
      <xdr:col>8</xdr:col>
      <xdr:colOff>442232</xdr:colOff>
      <xdr:row>13</xdr:row>
      <xdr:rowOff>21771</xdr:rowOff>
    </xdr:to>
    <xdr:sp macro="" textlink="">
      <xdr:nvSpPr>
        <xdr:cNvPr id="4475" name="CuadroTexto 4474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12</xdr:row>
      <xdr:rowOff>21771</xdr:rowOff>
    </xdr:from>
    <xdr:to>
      <xdr:col>10</xdr:col>
      <xdr:colOff>537482</xdr:colOff>
      <xdr:row>14</xdr:row>
      <xdr:rowOff>157843</xdr:rowOff>
    </xdr:to>
    <xdr:sp macro="" textlink="">
      <xdr:nvSpPr>
        <xdr:cNvPr id="4476" name="Rectángulo 4475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14</xdr:row>
      <xdr:rowOff>76200</xdr:rowOff>
    </xdr:from>
    <xdr:to>
      <xdr:col>3</xdr:col>
      <xdr:colOff>491218</xdr:colOff>
      <xdr:row>14</xdr:row>
      <xdr:rowOff>144236</xdr:rowOff>
    </xdr:to>
    <xdr:sp macro="" textlink="">
      <xdr:nvSpPr>
        <xdr:cNvPr id="4477" name="Rectángulo 4476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78" name="Conector recto de flecha 4477"/>
        <xdr:cNvCxnSpPr>
          <a:stCxn id="4127" idx="1"/>
          <a:endCxn id="7" idx="3"/>
        </xdr:cNvCxnSpPr>
      </xdr:nvCxnSpPr>
      <xdr:spPr>
        <a:xfrm flipV="1">
          <a:off x="530950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152945</xdr:rowOff>
    </xdr:from>
    <xdr:to>
      <xdr:col>8</xdr:col>
      <xdr:colOff>387804</xdr:colOff>
      <xdr:row>14</xdr:row>
      <xdr:rowOff>8164</xdr:rowOff>
    </xdr:to>
    <xdr:sp macro="" textlink="">
      <xdr:nvSpPr>
        <xdr:cNvPr id="4479" name="Flecha izquierda 4478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219075</xdr:rowOff>
    </xdr:from>
    <xdr:to>
      <xdr:col>8</xdr:col>
      <xdr:colOff>442232</xdr:colOff>
      <xdr:row>13</xdr:row>
      <xdr:rowOff>21771</xdr:rowOff>
    </xdr:to>
    <xdr:sp macro="" textlink="">
      <xdr:nvSpPr>
        <xdr:cNvPr id="4480" name="CuadroTexto 4479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81" name="Conector recto de flecha 4480"/>
        <xdr:cNvCxnSpPr>
          <a:stCxn id="4127" idx="1"/>
          <a:endCxn id="7" idx="3"/>
        </xdr:cNvCxnSpPr>
      </xdr:nvCxnSpPr>
      <xdr:spPr>
        <a:xfrm flipV="1">
          <a:off x="530950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152945</xdr:rowOff>
    </xdr:from>
    <xdr:to>
      <xdr:col>8</xdr:col>
      <xdr:colOff>387804</xdr:colOff>
      <xdr:row>14</xdr:row>
      <xdr:rowOff>8164</xdr:rowOff>
    </xdr:to>
    <xdr:sp macro="" textlink="">
      <xdr:nvSpPr>
        <xdr:cNvPr id="4482" name="Flecha izquierda 4481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219075</xdr:rowOff>
    </xdr:from>
    <xdr:to>
      <xdr:col>8</xdr:col>
      <xdr:colOff>442232</xdr:colOff>
      <xdr:row>13</xdr:row>
      <xdr:rowOff>21771</xdr:rowOff>
    </xdr:to>
    <xdr:sp macro="" textlink="">
      <xdr:nvSpPr>
        <xdr:cNvPr id="4483" name="CuadroTexto 4482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12</xdr:row>
      <xdr:rowOff>21771</xdr:rowOff>
    </xdr:from>
    <xdr:to>
      <xdr:col>10</xdr:col>
      <xdr:colOff>537482</xdr:colOff>
      <xdr:row>14</xdr:row>
      <xdr:rowOff>157843</xdr:rowOff>
    </xdr:to>
    <xdr:sp macro="" textlink="">
      <xdr:nvSpPr>
        <xdr:cNvPr id="4484" name="Rectángulo 4483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14</xdr:row>
      <xdr:rowOff>76200</xdr:rowOff>
    </xdr:from>
    <xdr:to>
      <xdr:col>3</xdr:col>
      <xdr:colOff>491218</xdr:colOff>
      <xdr:row>14</xdr:row>
      <xdr:rowOff>144236</xdr:rowOff>
    </xdr:to>
    <xdr:sp macro="" textlink="">
      <xdr:nvSpPr>
        <xdr:cNvPr id="4485" name="Rectángulo 448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86" name="Conector recto de flecha 4485"/>
        <xdr:cNvCxnSpPr>
          <a:stCxn id="4127" idx="1"/>
          <a:endCxn id="7" idx="3"/>
        </xdr:cNvCxnSpPr>
      </xdr:nvCxnSpPr>
      <xdr:spPr>
        <a:xfrm flipV="1">
          <a:off x="530950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152945</xdr:rowOff>
    </xdr:from>
    <xdr:to>
      <xdr:col>8</xdr:col>
      <xdr:colOff>387804</xdr:colOff>
      <xdr:row>14</xdr:row>
      <xdr:rowOff>8164</xdr:rowOff>
    </xdr:to>
    <xdr:sp macro="" textlink="">
      <xdr:nvSpPr>
        <xdr:cNvPr id="4487" name="Flecha izquierda 4486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219075</xdr:rowOff>
    </xdr:from>
    <xdr:to>
      <xdr:col>8</xdr:col>
      <xdr:colOff>442232</xdr:colOff>
      <xdr:row>13</xdr:row>
      <xdr:rowOff>21771</xdr:rowOff>
    </xdr:to>
    <xdr:sp macro="" textlink="">
      <xdr:nvSpPr>
        <xdr:cNvPr id="4488" name="CuadroTexto 4487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12</xdr:row>
      <xdr:rowOff>21771</xdr:rowOff>
    </xdr:from>
    <xdr:to>
      <xdr:col>10</xdr:col>
      <xdr:colOff>537482</xdr:colOff>
      <xdr:row>14</xdr:row>
      <xdr:rowOff>157843</xdr:rowOff>
    </xdr:to>
    <xdr:sp macro="" textlink="">
      <xdr:nvSpPr>
        <xdr:cNvPr id="4489" name="Rectángulo 4488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14</xdr:row>
      <xdr:rowOff>76200</xdr:rowOff>
    </xdr:from>
    <xdr:to>
      <xdr:col>3</xdr:col>
      <xdr:colOff>491218</xdr:colOff>
      <xdr:row>14</xdr:row>
      <xdr:rowOff>144236</xdr:rowOff>
    </xdr:to>
    <xdr:sp macro="" textlink="">
      <xdr:nvSpPr>
        <xdr:cNvPr id="4490" name="Rectángulo 4489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91" name="Conector recto de flecha 4490"/>
        <xdr:cNvCxnSpPr>
          <a:stCxn id="4127" idx="1"/>
          <a:endCxn id="7" idx="3"/>
        </xdr:cNvCxnSpPr>
      </xdr:nvCxnSpPr>
      <xdr:spPr>
        <a:xfrm flipV="1">
          <a:off x="530950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152945</xdr:rowOff>
    </xdr:from>
    <xdr:to>
      <xdr:col>8</xdr:col>
      <xdr:colOff>387804</xdr:colOff>
      <xdr:row>14</xdr:row>
      <xdr:rowOff>8164</xdr:rowOff>
    </xdr:to>
    <xdr:sp macro="" textlink="">
      <xdr:nvSpPr>
        <xdr:cNvPr id="4492" name="Flecha izquierda 4491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219075</xdr:rowOff>
    </xdr:from>
    <xdr:to>
      <xdr:col>8</xdr:col>
      <xdr:colOff>442232</xdr:colOff>
      <xdr:row>13</xdr:row>
      <xdr:rowOff>21771</xdr:rowOff>
    </xdr:to>
    <xdr:sp macro="" textlink="">
      <xdr:nvSpPr>
        <xdr:cNvPr id="4493" name="CuadroTexto 4492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12</xdr:row>
      <xdr:rowOff>21771</xdr:rowOff>
    </xdr:from>
    <xdr:to>
      <xdr:col>10</xdr:col>
      <xdr:colOff>537482</xdr:colOff>
      <xdr:row>14</xdr:row>
      <xdr:rowOff>157843</xdr:rowOff>
    </xdr:to>
    <xdr:sp macro="" textlink="">
      <xdr:nvSpPr>
        <xdr:cNvPr id="4494" name="Rectángulo 4493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14</xdr:row>
      <xdr:rowOff>76200</xdr:rowOff>
    </xdr:from>
    <xdr:to>
      <xdr:col>3</xdr:col>
      <xdr:colOff>491218</xdr:colOff>
      <xdr:row>14</xdr:row>
      <xdr:rowOff>144236</xdr:rowOff>
    </xdr:to>
    <xdr:sp macro="" textlink="">
      <xdr:nvSpPr>
        <xdr:cNvPr id="4495" name="Rectángulo 449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496" name="Conector recto de flecha 4495"/>
        <xdr:cNvCxnSpPr>
          <a:stCxn id="4127" idx="1"/>
          <a:endCxn id="7" idx="3"/>
        </xdr:cNvCxnSpPr>
      </xdr:nvCxnSpPr>
      <xdr:spPr>
        <a:xfrm flipV="1">
          <a:off x="530950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152945</xdr:rowOff>
    </xdr:from>
    <xdr:to>
      <xdr:col>8</xdr:col>
      <xdr:colOff>387804</xdr:colOff>
      <xdr:row>14</xdr:row>
      <xdr:rowOff>8164</xdr:rowOff>
    </xdr:to>
    <xdr:sp macro="" textlink="">
      <xdr:nvSpPr>
        <xdr:cNvPr id="4497" name="Flecha izquierda 4496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219075</xdr:rowOff>
    </xdr:from>
    <xdr:to>
      <xdr:col>8</xdr:col>
      <xdr:colOff>442232</xdr:colOff>
      <xdr:row>13</xdr:row>
      <xdr:rowOff>21771</xdr:rowOff>
    </xdr:to>
    <xdr:sp macro="" textlink="">
      <xdr:nvSpPr>
        <xdr:cNvPr id="4498" name="CuadroTexto 4497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12</xdr:row>
      <xdr:rowOff>21771</xdr:rowOff>
    </xdr:from>
    <xdr:to>
      <xdr:col>10</xdr:col>
      <xdr:colOff>537482</xdr:colOff>
      <xdr:row>14</xdr:row>
      <xdr:rowOff>157843</xdr:rowOff>
    </xdr:to>
    <xdr:sp macro="" textlink="">
      <xdr:nvSpPr>
        <xdr:cNvPr id="4499" name="Rectángulo 4498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14</xdr:row>
      <xdr:rowOff>76200</xdr:rowOff>
    </xdr:from>
    <xdr:to>
      <xdr:col>3</xdr:col>
      <xdr:colOff>491218</xdr:colOff>
      <xdr:row>14</xdr:row>
      <xdr:rowOff>144236</xdr:rowOff>
    </xdr:to>
    <xdr:sp macro="" textlink="">
      <xdr:nvSpPr>
        <xdr:cNvPr id="4500" name="Rectángulo 4499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01" name="Conector recto de flecha 4500"/>
        <xdr:cNvCxnSpPr>
          <a:stCxn id="4127" idx="1"/>
          <a:endCxn id="7" idx="3"/>
        </xdr:cNvCxnSpPr>
      </xdr:nvCxnSpPr>
      <xdr:spPr>
        <a:xfrm flipV="1">
          <a:off x="530950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152945</xdr:rowOff>
    </xdr:from>
    <xdr:to>
      <xdr:col>8</xdr:col>
      <xdr:colOff>387804</xdr:colOff>
      <xdr:row>14</xdr:row>
      <xdr:rowOff>8164</xdr:rowOff>
    </xdr:to>
    <xdr:sp macro="" textlink="">
      <xdr:nvSpPr>
        <xdr:cNvPr id="4502" name="Flecha izquierda 4501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219075</xdr:rowOff>
    </xdr:from>
    <xdr:to>
      <xdr:col>8</xdr:col>
      <xdr:colOff>442232</xdr:colOff>
      <xdr:row>13</xdr:row>
      <xdr:rowOff>21771</xdr:rowOff>
    </xdr:to>
    <xdr:sp macro="" textlink="">
      <xdr:nvSpPr>
        <xdr:cNvPr id="4503" name="CuadroTexto 4502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12</xdr:row>
      <xdr:rowOff>21771</xdr:rowOff>
    </xdr:from>
    <xdr:to>
      <xdr:col>10</xdr:col>
      <xdr:colOff>537482</xdr:colOff>
      <xdr:row>14</xdr:row>
      <xdr:rowOff>157843</xdr:rowOff>
    </xdr:to>
    <xdr:sp macro="" textlink="">
      <xdr:nvSpPr>
        <xdr:cNvPr id="4504" name="Rectángulo 4503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14</xdr:row>
      <xdr:rowOff>76200</xdr:rowOff>
    </xdr:from>
    <xdr:to>
      <xdr:col>3</xdr:col>
      <xdr:colOff>491218</xdr:colOff>
      <xdr:row>14</xdr:row>
      <xdr:rowOff>144236</xdr:rowOff>
    </xdr:to>
    <xdr:sp macro="" textlink="">
      <xdr:nvSpPr>
        <xdr:cNvPr id="4505" name="Rectángulo 450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06" name="Conector recto de flecha 4505"/>
        <xdr:cNvCxnSpPr>
          <a:stCxn id="4127" idx="1"/>
          <a:endCxn id="7" idx="3"/>
        </xdr:cNvCxnSpPr>
      </xdr:nvCxnSpPr>
      <xdr:spPr>
        <a:xfrm flipV="1">
          <a:off x="5309507" y="38358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152945</xdr:rowOff>
    </xdr:from>
    <xdr:to>
      <xdr:col>8</xdr:col>
      <xdr:colOff>387804</xdr:colOff>
      <xdr:row>14</xdr:row>
      <xdr:rowOff>8164</xdr:rowOff>
    </xdr:to>
    <xdr:sp macro="" textlink="">
      <xdr:nvSpPr>
        <xdr:cNvPr id="4507" name="Flecha izquierda 4506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219075</xdr:rowOff>
    </xdr:from>
    <xdr:to>
      <xdr:col>8</xdr:col>
      <xdr:colOff>442232</xdr:colOff>
      <xdr:row>13</xdr:row>
      <xdr:rowOff>21771</xdr:rowOff>
    </xdr:to>
    <xdr:sp macro="" textlink="">
      <xdr:nvSpPr>
        <xdr:cNvPr id="4508" name="CuadroTexto 4507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12</xdr:row>
      <xdr:rowOff>21771</xdr:rowOff>
    </xdr:from>
    <xdr:to>
      <xdr:col>10</xdr:col>
      <xdr:colOff>537482</xdr:colOff>
      <xdr:row>14</xdr:row>
      <xdr:rowOff>157843</xdr:rowOff>
    </xdr:to>
    <xdr:sp macro="" textlink="">
      <xdr:nvSpPr>
        <xdr:cNvPr id="4509" name="Rectángulo 4508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14</xdr:row>
      <xdr:rowOff>76200</xdr:rowOff>
    </xdr:from>
    <xdr:to>
      <xdr:col>3</xdr:col>
      <xdr:colOff>491218</xdr:colOff>
      <xdr:row>14</xdr:row>
      <xdr:rowOff>144236</xdr:rowOff>
    </xdr:to>
    <xdr:sp macro="" textlink="">
      <xdr:nvSpPr>
        <xdr:cNvPr id="4510" name="Rectángulo 4509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11" name="Conector recto de flecha 4510"/>
        <xdr:cNvCxnSpPr>
          <a:stCxn id="4127" idx="1"/>
          <a:endCxn id="7" idx="3"/>
        </xdr:cNvCxnSpPr>
      </xdr:nvCxnSpPr>
      <xdr:spPr>
        <a:xfrm flipV="1">
          <a:off x="5309507" y="41120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12</xdr:row>
      <xdr:rowOff>67220</xdr:rowOff>
    </xdr:from>
    <xdr:to>
      <xdr:col>8</xdr:col>
      <xdr:colOff>387804</xdr:colOff>
      <xdr:row>12</xdr:row>
      <xdr:rowOff>112939</xdr:rowOff>
    </xdr:to>
    <xdr:sp macro="" textlink="">
      <xdr:nvSpPr>
        <xdr:cNvPr id="4512" name="Flecha izquierda 4511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10</xdr:row>
      <xdr:rowOff>133350</xdr:rowOff>
    </xdr:from>
    <xdr:to>
      <xdr:col>8</xdr:col>
      <xdr:colOff>442232</xdr:colOff>
      <xdr:row>11</xdr:row>
      <xdr:rowOff>174171</xdr:rowOff>
    </xdr:to>
    <xdr:sp macro="" textlink="">
      <xdr:nvSpPr>
        <xdr:cNvPr id="4513" name="CuadroTexto 4512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10</xdr:row>
      <xdr:rowOff>174171</xdr:rowOff>
    </xdr:from>
    <xdr:to>
      <xdr:col>10</xdr:col>
      <xdr:colOff>537482</xdr:colOff>
      <xdr:row>13</xdr:row>
      <xdr:rowOff>72118</xdr:rowOff>
    </xdr:to>
    <xdr:sp macro="" textlink="">
      <xdr:nvSpPr>
        <xdr:cNvPr id="4514" name="Rectángulo 4513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12</xdr:row>
      <xdr:rowOff>180975</xdr:rowOff>
    </xdr:from>
    <xdr:to>
      <xdr:col>3</xdr:col>
      <xdr:colOff>491218</xdr:colOff>
      <xdr:row>13</xdr:row>
      <xdr:rowOff>58511</xdr:rowOff>
    </xdr:to>
    <xdr:sp macro="" textlink="">
      <xdr:nvSpPr>
        <xdr:cNvPr id="4515" name="Rectángulo 451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16" name="Conector recto de flecha 4515"/>
        <xdr:cNvCxnSpPr>
          <a:stCxn id="4127" idx="1"/>
          <a:endCxn id="7" idx="3"/>
        </xdr:cNvCxnSpPr>
      </xdr:nvCxnSpPr>
      <xdr:spPr>
        <a:xfrm flipV="1">
          <a:off x="5309507" y="41120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12</xdr:row>
      <xdr:rowOff>67220</xdr:rowOff>
    </xdr:from>
    <xdr:to>
      <xdr:col>8</xdr:col>
      <xdr:colOff>387804</xdr:colOff>
      <xdr:row>12</xdr:row>
      <xdr:rowOff>112939</xdr:rowOff>
    </xdr:to>
    <xdr:sp macro="" textlink="">
      <xdr:nvSpPr>
        <xdr:cNvPr id="4517" name="Flecha izquierda 4516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10</xdr:row>
      <xdr:rowOff>133350</xdr:rowOff>
    </xdr:from>
    <xdr:to>
      <xdr:col>8</xdr:col>
      <xdr:colOff>442232</xdr:colOff>
      <xdr:row>11</xdr:row>
      <xdr:rowOff>174171</xdr:rowOff>
    </xdr:to>
    <xdr:sp macro="" textlink="">
      <xdr:nvSpPr>
        <xdr:cNvPr id="4518" name="CuadroTexto 4517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10</xdr:row>
      <xdr:rowOff>174171</xdr:rowOff>
    </xdr:from>
    <xdr:to>
      <xdr:col>10</xdr:col>
      <xdr:colOff>537482</xdr:colOff>
      <xdr:row>13</xdr:row>
      <xdr:rowOff>72118</xdr:rowOff>
    </xdr:to>
    <xdr:sp macro="" textlink="">
      <xdr:nvSpPr>
        <xdr:cNvPr id="4519" name="Rectángulo 4518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12</xdr:row>
      <xdr:rowOff>180975</xdr:rowOff>
    </xdr:from>
    <xdr:to>
      <xdr:col>3</xdr:col>
      <xdr:colOff>491218</xdr:colOff>
      <xdr:row>13</xdr:row>
      <xdr:rowOff>58511</xdr:rowOff>
    </xdr:to>
    <xdr:sp macro="" textlink="">
      <xdr:nvSpPr>
        <xdr:cNvPr id="4520" name="Rectángulo 4519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600075</xdr:colOff>
      <xdr:row>10</xdr:row>
      <xdr:rowOff>174171</xdr:rowOff>
    </xdr:from>
    <xdr:to>
      <xdr:col>10</xdr:col>
      <xdr:colOff>537482</xdr:colOff>
      <xdr:row>13</xdr:row>
      <xdr:rowOff>72118</xdr:rowOff>
    </xdr:to>
    <xdr:sp macro="" textlink="">
      <xdr:nvSpPr>
        <xdr:cNvPr id="4521" name="Rectángulo 4520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12</xdr:row>
      <xdr:rowOff>180975</xdr:rowOff>
    </xdr:from>
    <xdr:to>
      <xdr:col>3</xdr:col>
      <xdr:colOff>491218</xdr:colOff>
      <xdr:row>13</xdr:row>
      <xdr:rowOff>58511</xdr:rowOff>
    </xdr:to>
    <xdr:sp macro="" textlink="">
      <xdr:nvSpPr>
        <xdr:cNvPr id="4522" name="Rectángulo 4521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23" name="Conector recto de flecha 4522"/>
        <xdr:cNvCxnSpPr>
          <a:stCxn id="4127" idx="1"/>
          <a:endCxn id="7" idx="3"/>
        </xdr:cNvCxnSpPr>
      </xdr:nvCxnSpPr>
      <xdr:spPr>
        <a:xfrm flipV="1">
          <a:off x="5309507" y="41120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12</xdr:row>
      <xdr:rowOff>67220</xdr:rowOff>
    </xdr:from>
    <xdr:to>
      <xdr:col>8</xdr:col>
      <xdr:colOff>387804</xdr:colOff>
      <xdr:row>12</xdr:row>
      <xdr:rowOff>112939</xdr:rowOff>
    </xdr:to>
    <xdr:sp macro="" textlink="">
      <xdr:nvSpPr>
        <xdr:cNvPr id="4524" name="Flecha izquierda 4523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10</xdr:row>
      <xdr:rowOff>133350</xdr:rowOff>
    </xdr:from>
    <xdr:to>
      <xdr:col>8</xdr:col>
      <xdr:colOff>442232</xdr:colOff>
      <xdr:row>11</xdr:row>
      <xdr:rowOff>174171</xdr:rowOff>
    </xdr:to>
    <xdr:sp macro="" textlink="">
      <xdr:nvSpPr>
        <xdr:cNvPr id="4525" name="CuadroTexto 4524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10</xdr:row>
      <xdr:rowOff>174171</xdr:rowOff>
    </xdr:from>
    <xdr:to>
      <xdr:col>10</xdr:col>
      <xdr:colOff>537482</xdr:colOff>
      <xdr:row>13</xdr:row>
      <xdr:rowOff>72118</xdr:rowOff>
    </xdr:to>
    <xdr:sp macro="" textlink="">
      <xdr:nvSpPr>
        <xdr:cNvPr id="4526" name="Rectángulo 4525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12</xdr:row>
      <xdr:rowOff>180975</xdr:rowOff>
    </xdr:from>
    <xdr:to>
      <xdr:col>3</xdr:col>
      <xdr:colOff>491218</xdr:colOff>
      <xdr:row>13</xdr:row>
      <xdr:rowOff>58511</xdr:rowOff>
    </xdr:to>
    <xdr:sp macro="" textlink="">
      <xdr:nvSpPr>
        <xdr:cNvPr id="4527" name="Rectángulo 4526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28" name="Conector recto de flecha 4527"/>
        <xdr:cNvCxnSpPr>
          <a:stCxn id="4127" idx="1"/>
          <a:endCxn id="7" idx="3"/>
        </xdr:cNvCxnSpPr>
      </xdr:nvCxnSpPr>
      <xdr:spPr>
        <a:xfrm flipV="1">
          <a:off x="5309507" y="45311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31" name="Conector recto de flecha 4530"/>
        <xdr:cNvCxnSpPr>
          <a:stCxn id="4127" idx="1"/>
          <a:endCxn id="7" idx="3"/>
        </xdr:cNvCxnSpPr>
      </xdr:nvCxnSpPr>
      <xdr:spPr>
        <a:xfrm flipV="1">
          <a:off x="5309507" y="45311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69396</xdr:colOff>
      <xdr:row>11</xdr:row>
      <xdr:rowOff>0</xdr:rowOff>
    </xdr:from>
    <xdr:to>
      <xdr:col>3</xdr:col>
      <xdr:colOff>491218</xdr:colOff>
      <xdr:row>11</xdr:row>
      <xdr:rowOff>68036</xdr:rowOff>
    </xdr:to>
    <xdr:sp macro="" textlink="">
      <xdr:nvSpPr>
        <xdr:cNvPr id="4535" name="Rectángulo 453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36" name="Conector recto de flecha 4535"/>
        <xdr:cNvCxnSpPr>
          <a:stCxn id="4127" idx="1"/>
          <a:endCxn id="7" idx="3"/>
        </xdr:cNvCxnSpPr>
      </xdr:nvCxnSpPr>
      <xdr:spPr>
        <a:xfrm flipV="1">
          <a:off x="5309507" y="45311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69396</xdr:colOff>
      <xdr:row>11</xdr:row>
      <xdr:rowOff>142875</xdr:rowOff>
    </xdr:from>
    <xdr:to>
      <xdr:col>3</xdr:col>
      <xdr:colOff>491218</xdr:colOff>
      <xdr:row>11</xdr:row>
      <xdr:rowOff>210911</xdr:rowOff>
    </xdr:to>
    <xdr:sp macro="" textlink="">
      <xdr:nvSpPr>
        <xdr:cNvPr id="4540" name="Rectángulo 4539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41" name="Conector recto de flecha 4540"/>
        <xdr:cNvCxnSpPr>
          <a:stCxn id="4127" idx="1"/>
          <a:endCxn id="7" idx="3"/>
        </xdr:cNvCxnSpPr>
      </xdr:nvCxnSpPr>
      <xdr:spPr>
        <a:xfrm flipV="1">
          <a:off x="5309507" y="438830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11</xdr:row>
      <xdr:rowOff>145596</xdr:rowOff>
    </xdr:from>
    <xdr:to>
      <xdr:col>10</xdr:col>
      <xdr:colOff>537482</xdr:colOff>
      <xdr:row>14</xdr:row>
      <xdr:rowOff>43543</xdr:rowOff>
    </xdr:to>
    <xdr:sp macro="" textlink="">
      <xdr:nvSpPr>
        <xdr:cNvPr id="4544" name="Rectángulo 4543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13</xdr:row>
      <xdr:rowOff>152400</xdr:rowOff>
    </xdr:from>
    <xdr:to>
      <xdr:col>3</xdr:col>
      <xdr:colOff>491218</xdr:colOff>
      <xdr:row>14</xdr:row>
      <xdr:rowOff>29936</xdr:rowOff>
    </xdr:to>
    <xdr:sp macro="" textlink="">
      <xdr:nvSpPr>
        <xdr:cNvPr id="4545" name="Rectángulo 454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46" name="Conector recto de flecha 4545"/>
        <xdr:cNvCxnSpPr>
          <a:stCxn id="4127" idx="1"/>
          <a:endCxn id="7" idx="3"/>
        </xdr:cNvCxnSpPr>
      </xdr:nvCxnSpPr>
      <xdr:spPr>
        <a:xfrm flipV="1">
          <a:off x="5309507" y="39501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38645</xdr:rowOff>
    </xdr:from>
    <xdr:to>
      <xdr:col>8</xdr:col>
      <xdr:colOff>387804</xdr:colOff>
      <xdr:row>13</xdr:row>
      <xdr:rowOff>84364</xdr:rowOff>
    </xdr:to>
    <xdr:sp macro="" textlink="">
      <xdr:nvSpPr>
        <xdr:cNvPr id="4547" name="Flecha izquierda 4546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104775</xdr:rowOff>
    </xdr:from>
    <xdr:to>
      <xdr:col>8</xdr:col>
      <xdr:colOff>442232</xdr:colOff>
      <xdr:row>12</xdr:row>
      <xdr:rowOff>97971</xdr:rowOff>
    </xdr:to>
    <xdr:sp macro="" textlink="">
      <xdr:nvSpPr>
        <xdr:cNvPr id="4548" name="CuadroTexto 4547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11</xdr:row>
      <xdr:rowOff>145596</xdr:rowOff>
    </xdr:from>
    <xdr:to>
      <xdr:col>10</xdr:col>
      <xdr:colOff>537482</xdr:colOff>
      <xdr:row>14</xdr:row>
      <xdr:rowOff>43543</xdr:rowOff>
    </xdr:to>
    <xdr:sp macro="" textlink="">
      <xdr:nvSpPr>
        <xdr:cNvPr id="4549" name="Rectángulo 4548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13</xdr:row>
      <xdr:rowOff>152400</xdr:rowOff>
    </xdr:from>
    <xdr:to>
      <xdr:col>3</xdr:col>
      <xdr:colOff>491218</xdr:colOff>
      <xdr:row>14</xdr:row>
      <xdr:rowOff>29936</xdr:rowOff>
    </xdr:to>
    <xdr:sp macro="" textlink="">
      <xdr:nvSpPr>
        <xdr:cNvPr id="4550" name="Rectángulo 4549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51" name="Conector recto de flecha 4550"/>
        <xdr:cNvCxnSpPr>
          <a:stCxn id="4127" idx="1"/>
          <a:endCxn id="7" idx="3"/>
        </xdr:cNvCxnSpPr>
      </xdr:nvCxnSpPr>
      <xdr:spPr>
        <a:xfrm flipV="1">
          <a:off x="5309507" y="39501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38645</xdr:rowOff>
    </xdr:from>
    <xdr:to>
      <xdr:col>8</xdr:col>
      <xdr:colOff>387804</xdr:colOff>
      <xdr:row>13</xdr:row>
      <xdr:rowOff>84364</xdr:rowOff>
    </xdr:to>
    <xdr:sp macro="" textlink="">
      <xdr:nvSpPr>
        <xdr:cNvPr id="4552" name="Flecha izquierda 4551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104775</xdr:rowOff>
    </xdr:from>
    <xdr:to>
      <xdr:col>8</xdr:col>
      <xdr:colOff>442232</xdr:colOff>
      <xdr:row>12</xdr:row>
      <xdr:rowOff>97971</xdr:rowOff>
    </xdr:to>
    <xdr:sp macro="" textlink="">
      <xdr:nvSpPr>
        <xdr:cNvPr id="4553" name="CuadroTexto 4552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11</xdr:row>
      <xdr:rowOff>145596</xdr:rowOff>
    </xdr:from>
    <xdr:to>
      <xdr:col>10</xdr:col>
      <xdr:colOff>537482</xdr:colOff>
      <xdr:row>14</xdr:row>
      <xdr:rowOff>43543</xdr:rowOff>
    </xdr:to>
    <xdr:sp macro="" textlink="">
      <xdr:nvSpPr>
        <xdr:cNvPr id="4554" name="Rectángulo 4553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13</xdr:row>
      <xdr:rowOff>152400</xdr:rowOff>
    </xdr:from>
    <xdr:to>
      <xdr:col>3</xdr:col>
      <xdr:colOff>491218</xdr:colOff>
      <xdr:row>14</xdr:row>
      <xdr:rowOff>29936</xdr:rowOff>
    </xdr:to>
    <xdr:sp macro="" textlink="">
      <xdr:nvSpPr>
        <xdr:cNvPr id="4555" name="Rectángulo 455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29" name="Conector recto de flecha 4528"/>
        <xdr:cNvCxnSpPr>
          <a:stCxn id="4127" idx="1"/>
          <a:endCxn id="7" idx="3"/>
        </xdr:cNvCxnSpPr>
      </xdr:nvCxnSpPr>
      <xdr:spPr>
        <a:xfrm flipV="1">
          <a:off x="5309507" y="3950154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13</xdr:row>
      <xdr:rowOff>38645</xdr:rowOff>
    </xdr:from>
    <xdr:to>
      <xdr:col>8</xdr:col>
      <xdr:colOff>387804</xdr:colOff>
      <xdr:row>13</xdr:row>
      <xdr:rowOff>84364</xdr:rowOff>
    </xdr:to>
    <xdr:sp macro="" textlink="">
      <xdr:nvSpPr>
        <xdr:cNvPr id="4530" name="Flecha izquierda 4529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11</xdr:row>
      <xdr:rowOff>104775</xdr:rowOff>
    </xdr:from>
    <xdr:to>
      <xdr:col>8</xdr:col>
      <xdr:colOff>442232</xdr:colOff>
      <xdr:row>12</xdr:row>
      <xdr:rowOff>97971</xdr:rowOff>
    </xdr:to>
    <xdr:sp macro="" textlink="">
      <xdr:nvSpPr>
        <xdr:cNvPr id="4532" name="CuadroTexto 4531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11</xdr:row>
      <xdr:rowOff>145596</xdr:rowOff>
    </xdr:from>
    <xdr:to>
      <xdr:col>10</xdr:col>
      <xdr:colOff>537482</xdr:colOff>
      <xdr:row>14</xdr:row>
      <xdr:rowOff>43543</xdr:rowOff>
    </xdr:to>
    <xdr:sp macro="" textlink="">
      <xdr:nvSpPr>
        <xdr:cNvPr id="4533" name="Rectángulo 4532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13</xdr:row>
      <xdr:rowOff>152400</xdr:rowOff>
    </xdr:from>
    <xdr:to>
      <xdr:col>3</xdr:col>
      <xdr:colOff>491218</xdr:colOff>
      <xdr:row>14</xdr:row>
      <xdr:rowOff>29936</xdr:rowOff>
    </xdr:to>
    <xdr:sp macro="" textlink="">
      <xdr:nvSpPr>
        <xdr:cNvPr id="4534" name="Rectángulo 4533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600075</xdr:colOff>
      <xdr:row>11</xdr:row>
      <xdr:rowOff>21771</xdr:rowOff>
    </xdr:from>
    <xdr:to>
      <xdr:col>10</xdr:col>
      <xdr:colOff>537482</xdr:colOff>
      <xdr:row>13</xdr:row>
      <xdr:rowOff>110218</xdr:rowOff>
    </xdr:to>
    <xdr:sp macro="" textlink="">
      <xdr:nvSpPr>
        <xdr:cNvPr id="4537" name="Rectángulo 4536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13</xdr:row>
      <xdr:rowOff>28575</xdr:rowOff>
    </xdr:from>
    <xdr:to>
      <xdr:col>3</xdr:col>
      <xdr:colOff>491218</xdr:colOff>
      <xdr:row>13</xdr:row>
      <xdr:rowOff>96611</xdr:rowOff>
    </xdr:to>
    <xdr:sp macro="" textlink="">
      <xdr:nvSpPr>
        <xdr:cNvPr id="4538" name="Rectángulo 4537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39" name="Conector recto de flecha 4538"/>
        <xdr:cNvCxnSpPr>
          <a:stCxn id="4127" idx="1"/>
          <a:endCxn id="7" idx="3"/>
        </xdr:cNvCxnSpPr>
      </xdr:nvCxnSpPr>
      <xdr:spPr>
        <a:xfrm flipV="1">
          <a:off x="5309507" y="40739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12</xdr:row>
      <xdr:rowOff>105320</xdr:rowOff>
    </xdr:from>
    <xdr:to>
      <xdr:col>8</xdr:col>
      <xdr:colOff>387804</xdr:colOff>
      <xdr:row>12</xdr:row>
      <xdr:rowOff>151039</xdr:rowOff>
    </xdr:to>
    <xdr:sp macro="" textlink="">
      <xdr:nvSpPr>
        <xdr:cNvPr id="4542" name="Flecha izquierda 4541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10</xdr:row>
      <xdr:rowOff>171450</xdr:rowOff>
    </xdr:from>
    <xdr:to>
      <xdr:col>8</xdr:col>
      <xdr:colOff>442232</xdr:colOff>
      <xdr:row>11</xdr:row>
      <xdr:rowOff>212271</xdr:rowOff>
    </xdr:to>
    <xdr:sp macro="" textlink="">
      <xdr:nvSpPr>
        <xdr:cNvPr id="4543" name="CuadroTexto 4542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11</xdr:row>
      <xdr:rowOff>21771</xdr:rowOff>
    </xdr:from>
    <xdr:to>
      <xdr:col>10</xdr:col>
      <xdr:colOff>537482</xdr:colOff>
      <xdr:row>13</xdr:row>
      <xdr:rowOff>110218</xdr:rowOff>
    </xdr:to>
    <xdr:sp macro="" textlink="">
      <xdr:nvSpPr>
        <xdr:cNvPr id="4556" name="Rectángulo 4555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13</xdr:row>
      <xdr:rowOff>28575</xdr:rowOff>
    </xdr:from>
    <xdr:to>
      <xdr:col>3</xdr:col>
      <xdr:colOff>491218</xdr:colOff>
      <xdr:row>13</xdr:row>
      <xdr:rowOff>96611</xdr:rowOff>
    </xdr:to>
    <xdr:sp macro="" textlink="">
      <xdr:nvSpPr>
        <xdr:cNvPr id="4557" name="Rectángulo 4556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600075</xdr:colOff>
      <xdr:row>11</xdr:row>
      <xdr:rowOff>21771</xdr:rowOff>
    </xdr:from>
    <xdr:to>
      <xdr:col>10</xdr:col>
      <xdr:colOff>537482</xdr:colOff>
      <xdr:row>13</xdr:row>
      <xdr:rowOff>110218</xdr:rowOff>
    </xdr:to>
    <xdr:sp macro="" textlink="">
      <xdr:nvSpPr>
        <xdr:cNvPr id="4558" name="Rectángulo 4557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13</xdr:row>
      <xdr:rowOff>28575</xdr:rowOff>
    </xdr:from>
    <xdr:to>
      <xdr:col>3</xdr:col>
      <xdr:colOff>491218</xdr:colOff>
      <xdr:row>13</xdr:row>
      <xdr:rowOff>96611</xdr:rowOff>
    </xdr:to>
    <xdr:sp macro="" textlink="">
      <xdr:nvSpPr>
        <xdr:cNvPr id="4559" name="Rectángulo 4558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60" name="Conector recto de flecha 4559"/>
        <xdr:cNvCxnSpPr>
          <a:stCxn id="4127" idx="1"/>
          <a:endCxn id="7" idx="3"/>
        </xdr:cNvCxnSpPr>
      </xdr:nvCxnSpPr>
      <xdr:spPr>
        <a:xfrm flipV="1">
          <a:off x="5309507" y="40739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12</xdr:row>
      <xdr:rowOff>105320</xdr:rowOff>
    </xdr:from>
    <xdr:to>
      <xdr:col>8</xdr:col>
      <xdr:colOff>387804</xdr:colOff>
      <xdr:row>12</xdr:row>
      <xdr:rowOff>151039</xdr:rowOff>
    </xdr:to>
    <xdr:sp macro="" textlink="">
      <xdr:nvSpPr>
        <xdr:cNvPr id="4561" name="Flecha izquierda 4560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10</xdr:row>
      <xdr:rowOff>171450</xdr:rowOff>
    </xdr:from>
    <xdr:to>
      <xdr:col>8</xdr:col>
      <xdr:colOff>442232</xdr:colOff>
      <xdr:row>11</xdr:row>
      <xdr:rowOff>212271</xdr:rowOff>
    </xdr:to>
    <xdr:sp macro="" textlink="">
      <xdr:nvSpPr>
        <xdr:cNvPr id="4562" name="CuadroTexto 4561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63" name="Conector recto de flecha 4562"/>
        <xdr:cNvCxnSpPr>
          <a:stCxn id="4127" idx="1"/>
          <a:endCxn id="7" idx="3"/>
        </xdr:cNvCxnSpPr>
      </xdr:nvCxnSpPr>
      <xdr:spPr>
        <a:xfrm flipV="1">
          <a:off x="5309507" y="40739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12</xdr:row>
      <xdr:rowOff>105320</xdr:rowOff>
    </xdr:from>
    <xdr:to>
      <xdr:col>8</xdr:col>
      <xdr:colOff>387804</xdr:colOff>
      <xdr:row>12</xdr:row>
      <xdr:rowOff>151039</xdr:rowOff>
    </xdr:to>
    <xdr:sp macro="" textlink="">
      <xdr:nvSpPr>
        <xdr:cNvPr id="4564" name="Flecha izquierda 4563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10</xdr:row>
      <xdr:rowOff>171450</xdr:rowOff>
    </xdr:from>
    <xdr:to>
      <xdr:col>8</xdr:col>
      <xdr:colOff>442232</xdr:colOff>
      <xdr:row>11</xdr:row>
      <xdr:rowOff>212271</xdr:rowOff>
    </xdr:to>
    <xdr:sp macro="" textlink="">
      <xdr:nvSpPr>
        <xdr:cNvPr id="4565" name="CuadroTexto 4564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600075</xdr:colOff>
      <xdr:row>11</xdr:row>
      <xdr:rowOff>21771</xdr:rowOff>
    </xdr:from>
    <xdr:to>
      <xdr:col>10</xdr:col>
      <xdr:colOff>537482</xdr:colOff>
      <xdr:row>13</xdr:row>
      <xdr:rowOff>110218</xdr:rowOff>
    </xdr:to>
    <xdr:sp macro="" textlink="">
      <xdr:nvSpPr>
        <xdr:cNvPr id="4566" name="Rectángulo 4565"/>
        <xdr:cNvSpPr/>
      </xdr:nvSpPr>
      <xdr:spPr>
        <a:xfrm>
          <a:off x="5905500" y="2898321"/>
          <a:ext cx="5633357" cy="517072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69396</xdr:colOff>
      <xdr:row>13</xdr:row>
      <xdr:rowOff>28575</xdr:rowOff>
    </xdr:from>
    <xdr:to>
      <xdr:col>3</xdr:col>
      <xdr:colOff>491218</xdr:colOff>
      <xdr:row>13</xdr:row>
      <xdr:rowOff>96611</xdr:rowOff>
    </xdr:to>
    <xdr:sp macro="" textlink="">
      <xdr:nvSpPr>
        <xdr:cNvPr id="4567" name="Rectángulo 4566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4568" name="Conector recto de flecha 4567"/>
        <xdr:cNvCxnSpPr>
          <a:stCxn id="4127" idx="1"/>
          <a:endCxn id="7" idx="3"/>
        </xdr:cNvCxnSpPr>
      </xdr:nvCxnSpPr>
      <xdr:spPr>
        <a:xfrm flipV="1">
          <a:off x="5309507" y="4073979"/>
          <a:ext cx="6372225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12</xdr:row>
      <xdr:rowOff>105320</xdr:rowOff>
    </xdr:from>
    <xdr:to>
      <xdr:col>8</xdr:col>
      <xdr:colOff>387804</xdr:colOff>
      <xdr:row>12</xdr:row>
      <xdr:rowOff>151039</xdr:rowOff>
    </xdr:to>
    <xdr:sp macro="" textlink="">
      <xdr:nvSpPr>
        <xdr:cNvPr id="4569" name="Flecha izquierda 4568"/>
        <xdr:cNvSpPr/>
      </xdr:nvSpPr>
      <xdr:spPr>
        <a:xfrm>
          <a:off x="8858250" y="32199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428625</xdr:colOff>
      <xdr:row>10</xdr:row>
      <xdr:rowOff>171450</xdr:rowOff>
    </xdr:from>
    <xdr:to>
      <xdr:col>8</xdr:col>
      <xdr:colOff>442232</xdr:colOff>
      <xdr:row>11</xdr:row>
      <xdr:rowOff>212271</xdr:rowOff>
    </xdr:to>
    <xdr:sp macro="" textlink="">
      <xdr:nvSpPr>
        <xdr:cNvPr id="4570" name="CuadroTexto 4569"/>
        <xdr:cNvSpPr txBox="1"/>
      </xdr:nvSpPr>
      <xdr:spPr>
        <a:xfrm>
          <a:off x="8763000" y="28575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752475</xdr:colOff>
      <xdr:row>10</xdr:row>
      <xdr:rowOff>0</xdr:rowOff>
    </xdr:from>
    <xdr:to>
      <xdr:col>10</xdr:col>
      <xdr:colOff>752475</xdr:colOff>
      <xdr:row>16</xdr:row>
      <xdr:rowOff>123825</xdr:rowOff>
    </xdr:to>
    <xdr:cxnSp macro="">
      <xdr:nvCxnSpPr>
        <xdr:cNvPr id="2" name="Conector recto 1"/>
        <xdr:cNvCxnSpPr/>
      </xdr:nvCxnSpPr>
      <xdr:spPr>
        <a:xfrm>
          <a:off x="11668125" y="2314575"/>
          <a:ext cx="0" cy="12668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1853045</xdr:colOff>
      <xdr:row>16</xdr:row>
      <xdr:rowOff>175780</xdr:rowOff>
    </xdr:from>
    <xdr:to>
      <xdr:col>10</xdr:col>
      <xdr:colOff>458934</xdr:colOff>
      <xdr:row>20</xdr:row>
      <xdr:rowOff>138546</xdr:rowOff>
    </xdr:to>
    <xdr:cxnSp macro="">
      <xdr:nvCxnSpPr>
        <xdr:cNvPr id="3" name="Conector recto 2"/>
        <xdr:cNvCxnSpPr/>
      </xdr:nvCxnSpPr>
      <xdr:spPr>
        <a:xfrm flipH="1">
          <a:off x="10806545" y="3881871"/>
          <a:ext cx="666753" cy="724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16</xdr:row>
      <xdr:rowOff>142875</xdr:rowOff>
    </xdr:from>
    <xdr:to>
      <xdr:col>12</xdr:col>
      <xdr:colOff>0</xdr:colOff>
      <xdr:row>20</xdr:row>
      <xdr:rowOff>180975</xdr:rowOff>
    </xdr:to>
    <xdr:cxnSp macro="">
      <xdr:nvCxnSpPr>
        <xdr:cNvPr id="4" name="Conector recto 3"/>
        <xdr:cNvCxnSpPr/>
      </xdr:nvCxnSpPr>
      <xdr:spPr>
        <a:xfrm>
          <a:off x="11677650" y="3600450"/>
          <a:ext cx="771525" cy="8001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193895</xdr:colOff>
      <xdr:row>18</xdr:row>
      <xdr:rowOff>10468</xdr:rowOff>
    </xdr:from>
    <xdr:to>
      <xdr:col>11</xdr:col>
      <xdr:colOff>552946</xdr:colOff>
      <xdr:row>19</xdr:row>
      <xdr:rowOff>117090</xdr:rowOff>
    </xdr:to>
    <xdr:sp macro="" textlink="">
      <xdr:nvSpPr>
        <xdr:cNvPr id="5" name="Rectángulo 4"/>
        <xdr:cNvSpPr/>
      </xdr:nvSpPr>
      <xdr:spPr>
        <a:xfrm rot="18982821">
          <a:off x="11871545" y="3849043"/>
          <a:ext cx="359051" cy="29712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Z2</a:t>
          </a:r>
        </a:p>
      </xdr:txBody>
    </xdr:sp>
    <xdr:clientData/>
  </xdr:twoCellAnchor>
  <xdr:twoCellAnchor>
    <xdr:from>
      <xdr:col>2</xdr:col>
      <xdr:colOff>733425</xdr:colOff>
      <xdr:row>9</xdr:row>
      <xdr:rowOff>180975</xdr:rowOff>
    </xdr:from>
    <xdr:to>
      <xdr:col>11</xdr:col>
      <xdr:colOff>0</xdr:colOff>
      <xdr:row>9</xdr:row>
      <xdr:rowOff>180975</xdr:rowOff>
    </xdr:to>
    <xdr:cxnSp macro="">
      <xdr:nvCxnSpPr>
        <xdr:cNvPr id="6" name="Conector recto 5"/>
        <xdr:cNvCxnSpPr/>
      </xdr:nvCxnSpPr>
      <xdr:spPr>
        <a:xfrm>
          <a:off x="5324475" y="2305050"/>
          <a:ext cx="63531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21</xdr:row>
      <xdr:rowOff>0</xdr:rowOff>
    </xdr:from>
    <xdr:to>
      <xdr:col>9</xdr:col>
      <xdr:colOff>1870364</xdr:colOff>
      <xdr:row>21</xdr:row>
      <xdr:rowOff>19051</xdr:rowOff>
    </xdr:to>
    <xdr:cxnSp macro="">
      <xdr:nvCxnSpPr>
        <xdr:cNvPr id="7" name="Conector recto 6"/>
        <xdr:cNvCxnSpPr/>
      </xdr:nvCxnSpPr>
      <xdr:spPr>
        <a:xfrm flipV="1">
          <a:off x="4969452" y="4658591"/>
          <a:ext cx="5854412" cy="190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704850</xdr:colOff>
      <xdr:row>21</xdr:row>
      <xdr:rowOff>0</xdr:rowOff>
    </xdr:from>
    <xdr:to>
      <xdr:col>1</xdr:col>
      <xdr:colOff>714375</xdr:colOff>
      <xdr:row>24</xdr:row>
      <xdr:rowOff>38100</xdr:rowOff>
    </xdr:to>
    <xdr:cxnSp macro="">
      <xdr:nvCxnSpPr>
        <xdr:cNvPr id="8" name="Conector recto 7"/>
        <xdr:cNvCxnSpPr/>
      </xdr:nvCxnSpPr>
      <xdr:spPr>
        <a:xfrm>
          <a:off x="4514850" y="4410075"/>
          <a:ext cx="9525" cy="609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714375</xdr:colOff>
      <xdr:row>24</xdr:row>
      <xdr:rowOff>38100</xdr:rowOff>
    </xdr:from>
    <xdr:to>
      <xdr:col>11</xdr:col>
      <xdr:colOff>752475</xdr:colOff>
      <xdr:row>24</xdr:row>
      <xdr:rowOff>47625</xdr:rowOff>
    </xdr:to>
    <xdr:cxnSp macro="">
      <xdr:nvCxnSpPr>
        <xdr:cNvPr id="9" name="Conector recto 8"/>
        <xdr:cNvCxnSpPr/>
      </xdr:nvCxnSpPr>
      <xdr:spPr>
        <a:xfrm flipV="1">
          <a:off x="4524375" y="5019675"/>
          <a:ext cx="7905750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752475</xdr:colOff>
      <xdr:row>20</xdr:row>
      <xdr:rowOff>180975</xdr:rowOff>
    </xdr:from>
    <xdr:to>
      <xdr:col>12</xdr:col>
      <xdr:colOff>0</xdr:colOff>
      <xdr:row>24</xdr:row>
      <xdr:rowOff>38100</xdr:rowOff>
    </xdr:to>
    <xdr:cxnSp macro="">
      <xdr:nvCxnSpPr>
        <xdr:cNvPr id="10" name="Conector recto 9"/>
        <xdr:cNvCxnSpPr/>
      </xdr:nvCxnSpPr>
      <xdr:spPr>
        <a:xfrm flipV="1">
          <a:off x="12430125" y="4400550"/>
          <a:ext cx="19050" cy="6191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346364</xdr:colOff>
      <xdr:row>11</xdr:row>
      <xdr:rowOff>183778</xdr:rowOff>
    </xdr:from>
    <xdr:to>
      <xdr:col>11</xdr:col>
      <xdr:colOff>190500</xdr:colOff>
      <xdr:row>14</xdr:row>
      <xdr:rowOff>22413</xdr:rowOff>
    </xdr:to>
    <xdr:sp macro="" textlink="">
      <xdr:nvSpPr>
        <xdr:cNvPr id="11" name="Rectángulo 10"/>
        <xdr:cNvSpPr/>
      </xdr:nvSpPr>
      <xdr:spPr>
        <a:xfrm>
          <a:off x="11360728" y="2798823"/>
          <a:ext cx="329045" cy="47940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Z1</a:t>
          </a:r>
        </a:p>
      </xdr:txBody>
    </xdr:sp>
    <xdr:clientData/>
  </xdr:twoCellAnchor>
  <xdr:twoCellAnchor>
    <xdr:from>
      <xdr:col>9</xdr:col>
      <xdr:colOff>2027636</xdr:colOff>
      <xdr:row>18</xdr:row>
      <xdr:rowOff>40790</xdr:rowOff>
    </xdr:from>
    <xdr:to>
      <xdr:col>10</xdr:col>
      <xdr:colOff>318456</xdr:colOff>
      <xdr:row>19</xdr:row>
      <xdr:rowOff>178375</xdr:rowOff>
    </xdr:to>
    <xdr:sp macro="" textlink="">
      <xdr:nvSpPr>
        <xdr:cNvPr id="12" name="Rectángulo 11"/>
        <xdr:cNvSpPr/>
      </xdr:nvSpPr>
      <xdr:spPr>
        <a:xfrm rot="2126916">
          <a:off x="10981136" y="4127881"/>
          <a:ext cx="351684" cy="32808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Z3</a:t>
          </a:r>
        </a:p>
      </xdr:txBody>
    </xdr:sp>
    <xdr:clientData/>
  </xdr:twoCellAnchor>
  <xdr:twoCellAnchor>
    <xdr:from>
      <xdr:col>4</xdr:col>
      <xdr:colOff>459681</xdr:colOff>
      <xdr:row>8</xdr:row>
      <xdr:rowOff>59231</xdr:rowOff>
    </xdr:from>
    <xdr:to>
      <xdr:col>5</xdr:col>
      <xdr:colOff>353785</xdr:colOff>
      <xdr:row>8</xdr:row>
      <xdr:rowOff>59231</xdr:rowOff>
    </xdr:to>
    <xdr:cxnSp macro="">
      <xdr:nvCxnSpPr>
        <xdr:cNvPr id="13" name="Conector recto de flecha 12"/>
        <xdr:cNvCxnSpPr/>
      </xdr:nvCxnSpPr>
      <xdr:spPr>
        <a:xfrm>
          <a:off x="6546156" y="1992806"/>
          <a:ext cx="37987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488577</xdr:colOff>
      <xdr:row>20</xdr:row>
      <xdr:rowOff>11205</xdr:rowOff>
    </xdr:from>
    <xdr:to>
      <xdr:col>5</xdr:col>
      <xdr:colOff>392206</xdr:colOff>
      <xdr:row>20</xdr:row>
      <xdr:rowOff>11205</xdr:rowOff>
    </xdr:to>
    <xdr:cxnSp macro="">
      <xdr:nvCxnSpPr>
        <xdr:cNvPr id="14" name="Conector recto de flecha 13"/>
        <xdr:cNvCxnSpPr/>
      </xdr:nvCxnSpPr>
      <xdr:spPr>
        <a:xfrm>
          <a:off x="6575052" y="4230780"/>
          <a:ext cx="38940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212912</xdr:colOff>
      <xdr:row>21</xdr:row>
      <xdr:rowOff>67236</xdr:rowOff>
    </xdr:from>
    <xdr:to>
      <xdr:col>1</xdr:col>
      <xdr:colOff>212913</xdr:colOff>
      <xdr:row>23</xdr:row>
      <xdr:rowOff>156882</xdr:rowOff>
    </xdr:to>
    <xdr:cxnSp macro="">
      <xdr:nvCxnSpPr>
        <xdr:cNvPr id="15" name="Conector recto de flecha 14"/>
        <xdr:cNvCxnSpPr/>
      </xdr:nvCxnSpPr>
      <xdr:spPr>
        <a:xfrm flipH="1">
          <a:off x="4022912" y="4477311"/>
          <a:ext cx="1" cy="47064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179294</xdr:colOff>
      <xdr:row>6</xdr:row>
      <xdr:rowOff>11206</xdr:rowOff>
    </xdr:from>
    <xdr:to>
      <xdr:col>14</xdr:col>
      <xdr:colOff>1</xdr:colOff>
      <xdr:row>12</xdr:row>
      <xdr:rowOff>0</xdr:rowOff>
    </xdr:to>
    <xdr:cxnSp macro="">
      <xdr:nvCxnSpPr>
        <xdr:cNvPr id="16" name="Conector recto de flecha 15"/>
        <xdr:cNvCxnSpPr/>
      </xdr:nvCxnSpPr>
      <xdr:spPr>
        <a:xfrm flipH="1">
          <a:off x="11856944" y="1563781"/>
          <a:ext cx="1363757" cy="113179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1905000</xdr:colOff>
      <xdr:row>9</xdr:row>
      <xdr:rowOff>86591</xdr:rowOff>
    </xdr:from>
    <xdr:to>
      <xdr:col>13</xdr:col>
      <xdr:colOff>2874819</xdr:colOff>
      <xdr:row>17</xdr:row>
      <xdr:rowOff>155864</xdr:rowOff>
    </xdr:to>
    <xdr:cxnSp macro="">
      <xdr:nvCxnSpPr>
        <xdr:cNvPr id="17" name="Conector recto de flecha 16"/>
        <xdr:cNvCxnSpPr/>
      </xdr:nvCxnSpPr>
      <xdr:spPr>
        <a:xfrm flipH="1">
          <a:off x="10858500" y="2182091"/>
          <a:ext cx="6251864" cy="187036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617128</xdr:colOff>
      <xdr:row>12</xdr:row>
      <xdr:rowOff>34636</xdr:rowOff>
    </xdr:from>
    <xdr:to>
      <xdr:col>13</xdr:col>
      <xdr:colOff>2857500</xdr:colOff>
      <xdr:row>18</xdr:row>
      <xdr:rowOff>78441</xdr:rowOff>
    </xdr:to>
    <xdr:cxnSp macro="">
      <xdr:nvCxnSpPr>
        <xdr:cNvPr id="18" name="Conector recto de flecha 17"/>
        <xdr:cNvCxnSpPr/>
      </xdr:nvCxnSpPr>
      <xdr:spPr>
        <a:xfrm flipH="1">
          <a:off x="11319764" y="2684318"/>
          <a:ext cx="5219100" cy="118680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67236</xdr:colOff>
      <xdr:row>16</xdr:row>
      <xdr:rowOff>56029</xdr:rowOff>
    </xdr:from>
    <xdr:to>
      <xdr:col>8</xdr:col>
      <xdr:colOff>672353</xdr:colOff>
      <xdr:row>16</xdr:row>
      <xdr:rowOff>56030</xdr:rowOff>
    </xdr:to>
    <xdr:cxnSp macro="">
      <xdr:nvCxnSpPr>
        <xdr:cNvPr id="19" name="Conector recto de flecha 18"/>
        <xdr:cNvCxnSpPr/>
      </xdr:nvCxnSpPr>
      <xdr:spPr>
        <a:xfrm flipH="1">
          <a:off x="9182661" y="3513604"/>
          <a:ext cx="605117" cy="1"/>
        </a:xfrm>
        <a:prstGeom prst="straightConnector1">
          <a:avLst/>
        </a:prstGeom>
        <a:noFill/>
        <a:ln w="6350" cap="flat" cmpd="sng" algn="ctr">
          <a:noFill/>
          <a:prstDash val="solid"/>
          <a:miter lim="800000"/>
          <a:tailEnd type="triangle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dk1"/>
              </a:solidFill>
              <a:prstDash val="solid"/>
              <a:miter lim="800000"/>
              <a:tailEnd type="triangle"/>
            </a14:hiddenLine>
          </a:ext>
        </a:ex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739588</xdr:colOff>
      <xdr:row>10</xdr:row>
      <xdr:rowOff>11206</xdr:rowOff>
    </xdr:from>
    <xdr:to>
      <xdr:col>3</xdr:col>
      <xdr:colOff>0</xdr:colOff>
      <xdr:row>16</xdr:row>
      <xdr:rowOff>179294</xdr:rowOff>
    </xdr:to>
    <xdr:cxnSp macro="">
      <xdr:nvCxnSpPr>
        <xdr:cNvPr id="20" name="Conector recto de flecha 19"/>
        <xdr:cNvCxnSpPr/>
      </xdr:nvCxnSpPr>
      <xdr:spPr>
        <a:xfrm flipV="1">
          <a:off x="5321113" y="2325781"/>
          <a:ext cx="3362" cy="131108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739588</xdr:colOff>
      <xdr:row>17</xdr:row>
      <xdr:rowOff>22412</xdr:rowOff>
    </xdr:from>
    <xdr:to>
      <xdr:col>3</xdr:col>
      <xdr:colOff>705970</xdr:colOff>
      <xdr:row>21</xdr:row>
      <xdr:rowOff>33618</xdr:rowOff>
    </xdr:to>
    <xdr:cxnSp macro="">
      <xdr:nvCxnSpPr>
        <xdr:cNvPr id="21" name="Conector recto de flecha 20"/>
        <xdr:cNvCxnSpPr/>
      </xdr:nvCxnSpPr>
      <xdr:spPr>
        <a:xfrm>
          <a:off x="5321113" y="3670487"/>
          <a:ext cx="709332" cy="77320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717176</xdr:colOff>
      <xdr:row>16</xdr:row>
      <xdr:rowOff>179294</xdr:rowOff>
    </xdr:from>
    <xdr:to>
      <xdr:col>2</xdr:col>
      <xdr:colOff>750794</xdr:colOff>
      <xdr:row>20</xdr:row>
      <xdr:rowOff>168088</xdr:rowOff>
    </xdr:to>
    <xdr:cxnSp macro="">
      <xdr:nvCxnSpPr>
        <xdr:cNvPr id="22" name="Conector recto de flecha 21"/>
        <xdr:cNvCxnSpPr/>
      </xdr:nvCxnSpPr>
      <xdr:spPr>
        <a:xfrm flipH="1">
          <a:off x="4527176" y="3636869"/>
          <a:ext cx="795618" cy="75079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649940</xdr:colOff>
      <xdr:row>10</xdr:row>
      <xdr:rowOff>22411</xdr:rowOff>
    </xdr:from>
    <xdr:to>
      <xdr:col>2</xdr:col>
      <xdr:colOff>649940</xdr:colOff>
      <xdr:row>20</xdr:row>
      <xdr:rowOff>123264</xdr:rowOff>
    </xdr:to>
    <xdr:cxnSp macro="">
      <xdr:nvCxnSpPr>
        <xdr:cNvPr id="23" name="Conector recto de flecha 22"/>
        <xdr:cNvCxnSpPr/>
      </xdr:nvCxnSpPr>
      <xdr:spPr>
        <a:xfrm flipH="1">
          <a:off x="4459940" y="2336986"/>
          <a:ext cx="790575" cy="200585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729983</xdr:colOff>
      <xdr:row>20</xdr:row>
      <xdr:rowOff>176893</xdr:rowOff>
    </xdr:from>
    <xdr:to>
      <xdr:col>3</xdr:col>
      <xdr:colOff>598714</xdr:colOff>
      <xdr:row>20</xdr:row>
      <xdr:rowOff>180895</xdr:rowOff>
    </xdr:to>
    <xdr:cxnSp macro="">
      <xdr:nvCxnSpPr>
        <xdr:cNvPr id="24" name="Conector recto de flecha 23"/>
        <xdr:cNvCxnSpPr/>
      </xdr:nvCxnSpPr>
      <xdr:spPr>
        <a:xfrm flipV="1">
          <a:off x="4539983" y="4396468"/>
          <a:ext cx="1383206" cy="400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78441</xdr:colOff>
      <xdr:row>10</xdr:row>
      <xdr:rowOff>11206</xdr:rowOff>
    </xdr:from>
    <xdr:to>
      <xdr:col>3</xdr:col>
      <xdr:colOff>728383</xdr:colOff>
      <xdr:row>20</xdr:row>
      <xdr:rowOff>112059</xdr:rowOff>
    </xdr:to>
    <xdr:cxnSp macro="">
      <xdr:nvCxnSpPr>
        <xdr:cNvPr id="25" name="Conector recto de flecha 24"/>
        <xdr:cNvCxnSpPr/>
      </xdr:nvCxnSpPr>
      <xdr:spPr>
        <a:xfrm flipH="1" flipV="1">
          <a:off x="5402916" y="2325781"/>
          <a:ext cx="649942" cy="200585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1636059</xdr:colOff>
      <xdr:row>1</xdr:row>
      <xdr:rowOff>90666</xdr:rowOff>
    </xdr:from>
    <xdr:to>
      <xdr:col>0</xdr:col>
      <xdr:colOff>2050676</xdr:colOff>
      <xdr:row>1</xdr:row>
      <xdr:rowOff>90666</xdr:rowOff>
    </xdr:to>
    <xdr:cxnSp macro="">
      <xdr:nvCxnSpPr>
        <xdr:cNvPr id="26" name="Conector recto de flecha 25"/>
        <xdr:cNvCxnSpPr/>
      </xdr:nvCxnSpPr>
      <xdr:spPr>
        <a:xfrm>
          <a:off x="1636059" y="357366"/>
          <a:ext cx="41461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1607244</xdr:colOff>
      <xdr:row>10</xdr:row>
      <xdr:rowOff>109657</xdr:rowOff>
    </xdr:from>
    <xdr:to>
      <xdr:col>0</xdr:col>
      <xdr:colOff>2021861</xdr:colOff>
      <xdr:row>10</xdr:row>
      <xdr:rowOff>109657</xdr:rowOff>
    </xdr:to>
    <xdr:cxnSp macro="">
      <xdr:nvCxnSpPr>
        <xdr:cNvPr id="27" name="Conector recto de flecha 26"/>
        <xdr:cNvCxnSpPr/>
      </xdr:nvCxnSpPr>
      <xdr:spPr>
        <a:xfrm>
          <a:off x="1607244" y="2424232"/>
          <a:ext cx="41461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1700093</xdr:colOff>
      <xdr:row>13</xdr:row>
      <xdr:rowOff>103254</xdr:rowOff>
    </xdr:from>
    <xdr:to>
      <xdr:col>0</xdr:col>
      <xdr:colOff>2114710</xdr:colOff>
      <xdr:row>13</xdr:row>
      <xdr:rowOff>103254</xdr:rowOff>
    </xdr:to>
    <xdr:cxnSp macro="">
      <xdr:nvCxnSpPr>
        <xdr:cNvPr id="28" name="Conector recto de flecha 27"/>
        <xdr:cNvCxnSpPr/>
      </xdr:nvCxnSpPr>
      <xdr:spPr>
        <a:xfrm>
          <a:off x="1700093" y="2989329"/>
          <a:ext cx="41461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1758523</xdr:colOff>
      <xdr:row>4</xdr:row>
      <xdr:rowOff>90666</xdr:rowOff>
    </xdr:from>
    <xdr:to>
      <xdr:col>0</xdr:col>
      <xdr:colOff>2173140</xdr:colOff>
      <xdr:row>4</xdr:row>
      <xdr:rowOff>90666</xdr:rowOff>
    </xdr:to>
    <xdr:cxnSp macro="">
      <xdr:nvCxnSpPr>
        <xdr:cNvPr id="29" name="Conector recto de flecha 28"/>
        <xdr:cNvCxnSpPr/>
      </xdr:nvCxnSpPr>
      <xdr:spPr>
        <a:xfrm>
          <a:off x="1758523" y="1157466"/>
          <a:ext cx="41461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612321</xdr:colOff>
      <xdr:row>16</xdr:row>
      <xdr:rowOff>163286</xdr:rowOff>
    </xdr:from>
    <xdr:to>
      <xdr:col>10</xdr:col>
      <xdr:colOff>680357</xdr:colOff>
      <xdr:row>17</xdr:row>
      <xdr:rowOff>40822</xdr:rowOff>
    </xdr:to>
    <xdr:sp macro="" textlink="">
      <xdr:nvSpPr>
        <xdr:cNvPr id="33" name="Rectángulo 32"/>
        <xdr:cNvSpPr/>
      </xdr:nvSpPr>
      <xdr:spPr>
        <a:xfrm>
          <a:off x="11527971" y="3620861"/>
          <a:ext cx="68036" cy="68036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604157</xdr:colOff>
      <xdr:row>16</xdr:row>
      <xdr:rowOff>167368</xdr:rowOff>
    </xdr:from>
    <xdr:to>
      <xdr:col>10</xdr:col>
      <xdr:colOff>672193</xdr:colOff>
      <xdr:row>17</xdr:row>
      <xdr:rowOff>44904</xdr:rowOff>
    </xdr:to>
    <xdr:sp macro="" textlink="">
      <xdr:nvSpPr>
        <xdr:cNvPr id="35" name="Rectángulo 34"/>
        <xdr:cNvSpPr/>
      </xdr:nvSpPr>
      <xdr:spPr>
        <a:xfrm>
          <a:off x="11519807" y="3624943"/>
          <a:ext cx="68036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604157</xdr:colOff>
      <xdr:row>16</xdr:row>
      <xdr:rowOff>167368</xdr:rowOff>
    </xdr:from>
    <xdr:to>
      <xdr:col>10</xdr:col>
      <xdr:colOff>672193</xdr:colOff>
      <xdr:row>17</xdr:row>
      <xdr:rowOff>44904</xdr:rowOff>
    </xdr:to>
    <xdr:sp macro="" textlink="">
      <xdr:nvSpPr>
        <xdr:cNvPr id="36" name="Rectángulo 35"/>
        <xdr:cNvSpPr/>
      </xdr:nvSpPr>
      <xdr:spPr>
        <a:xfrm>
          <a:off x="11519807" y="3624943"/>
          <a:ext cx="68036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604157</xdr:colOff>
      <xdr:row>16</xdr:row>
      <xdr:rowOff>167368</xdr:rowOff>
    </xdr:from>
    <xdr:to>
      <xdr:col>10</xdr:col>
      <xdr:colOff>672193</xdr:colOff>
      <xdr:row>17</xdr:row>
      <xdr:rowOff>44904</xdr:rowOff>
    </xdr:to>
    <xdr:sp macro="" textlink="">
      <xdr:nvSpPr>
        <xdr:cNvPr id="37" name="Rectángulo 36"/>
        <xdr:cNvSpPr/>
      </xdr:nvSpPr>
      <xdr:spPr>
        <a:xfrm>
          <a:off x="11519807" y="3624943"/>
          <a:ext cx="68036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38" name="Conector recto de flecha 37"/>
        <xdr:cNvCxnSpPr/>
      </xdr:nvCxnSpPr>
      <xdr:spPr>
        <a:xfrm>
          <a:off x="5328557" y="36249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27214</xdr:colOff>
      <xdr:row>16</xdr:row>
      <xdr:rowOff>122464</xdr:rowOff>
    </xdr:from>
    <xdr:to>
      <xdr:col>3</xdr:col>
      <xdr:colOff>489857</xdr:colOff>
      <xdr:row>17</xdr:row>
      <xdr:rowOff>13607</xdr:rowOff>
    </xdr:to>
    <xdr:sp macro="" textlink="">
      <xdr:nvSpPr>
        <xdr:cNvPr id="42" name="Rectángulo 41"/>
        <xdr:cNvSpPr/>
      </xdr:nvSpPr>
      <xdr:spPr>
        <a:xfrm>
          <a:off x="5351689" y="3580039"/>
          <a:ext cx="462643" cy="8164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43" name="Conector recto de flecha 42"/>
        <xdr:cNvCxnSpPr/>
      </xdr:nvCxnSpPr>
      <xdr:spPr>
        <a:xfrm>
          <a:off x="5328557" y="36249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47" name="Rectángulo 46"/>
        <xdr:cNvSpPr/>
      </xdr:nvSpPr>
      <xdr:spPr>
        <a:xfrm>
          <a:off x="5342164" y="35841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48" name="Conector recto de flecha 47"/>
        <xdr:cNvCxnSpPr/>
      </xdr:nvCxnSpPr>
      <xdr:spPr>
        <a:xfrm>
          <a:off x="5328557" y="36249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52" name="Rectángulo 51"/>
        <xdr:cNvSpPr/>
      </xdr:nvSpPr>
      <xdr:spPr>
        <a:xfrm>
          <a:off x="5342164" y="35841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53" name="Conector recto de flecha 52"/>
        <xdr:cNvCxnSpPr/>
      </xdr:nvCxnSpPr>
      <xdr:spPr>
        <a:xfrm>
          <a:off x="5328557" y="36249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57" name="Rectángulo 56"/>
        <xdr:cNvSpPr/>
      </xdr:nvSpPr>
      <xdr:spPr>
        <a:xfrm>
          <a:off x="5342164" y="35841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58" name="Conector recto de flecha 57"/>
        <xdr:cNvCxnSpPr/>
      </xdr:nvCxnSpPr>
      <xdr:spPr>
        <a:xfrm>
          <a:off x="5328557" y="36249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62" name="Rectángulo 61"/>
        <xdr:cNvSpPr/>
      </xdr:nvSpPr>
      <xdr:spPr>
        <a:xfrm>
          <a:off x="5342164" y="35841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63" name="Conector recto de flecha 62"/>
        <xdr:cNvCxnSpPr/>
      </xdr:nvCxnSpPr>
      <xdr:spPr>
        <a:xfrm>
          <a:off x="5328557" y="36249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67" name="Rectángulo 66"/>
        <xdr:cNvSpPr/>
      </xdr:nvSpPr>
      <xdr:spPr>
        <a:xfrm>
          <a:off x="5342164" y="35841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726621</xdr:colOff>
      <xdr:row>17</xdr:row>
      <xdr:rowOff>4082</xdr:rowOff>
    </xdr:to>
    <xdr:cxnSp macro="">
      <xdr:nvCxnSpPr>
        <xdr:cNvPr id="68" name="Conector recto de flecha 67"/>
        <xdr:cNvCxnSpPr/>
      </xdr:nvCxnSpPr>
      <xdr:spPr>
        <a:xfrm>
          <a:off x="5328557" y="3624943"/>
          <a:ext cx="6313714" cy="27214"/>
        </a:xfrm>
        <a:prstGeom prst="straightConnector1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17689</xdr:colOff>
      <xdr:row>16</xdr:row>
      <xdr:rowOff>126546</xdr:rowOff>
    </xdr:from>
    <xdr:to>
      <xdr:col>3</xdr:col>
      <xdr:colOff>480332</xdr:colOff>
      <xdr:row>17</xdr:row>
      <xdr:rowOff>17689</xdr:rowOff>
    </xdr:to>
    <xdr:sp macro="" textlink="">
      <xdr:nvSpPr>
        <xdr:cNvPr id="72" name="Rectángulo 71"/>
        <xdr:cNvSpPr/>
      </xdr:nvSpPr>
      <xdr:spPr>
        <a:xfrm>
          <a:off x="5342164" y="3584121"/>
          <a:ext cx="462643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495300</xdr:colOff>
      <xdr:row>17</xdr:row>
      <xdr:rowOff>58511</xdr:rowOff>
    </xdr:to>
    <xdr:sp macro="" textlink="">
      <xdr:nvSpPr>
        <xdr:cNvPr id="73" name="Flecha derecha 72"/>
        <xdr:cNvSpPr/>
      </xdr:nvSpPr>
      <xdr:spPr>
        <a:xfrm>
          <a:off x="5328557" y="3624943"/>
          <a:ext cx="6082393" cy="81643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250371</xdr:colOff>
      <xdr:row>15</xdr:row>
      <xdr:rowOff>31296</xdr:rowOff>
    </xdr:from>
    <xdr:to>
      <xdr:col>10</xdr:col>
      <xdr:colOff>100693</xdr:colOff>
      <xdr:row>16</xdr:row>
      <xdr:rowOff>126546</xdr:rowOff>
    </xdr:to>
    <xdr:sp macro="" textlink="">
      <xdr:nvSpPr>
        <xdr:cNvPr id="74" name="CuadroTexto 73"/>
        <xdr:cNvSpPr txBox="1"/>
      </xdr:nvSpPr>
      <xdr:spPr>
        <a:xfrm>
          <a:off x="10404021" y="3298371"/>
          <a:ext cx="612322" cy="28575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Von</a:t>
          </a:r>
        </a:p>
      </xdr:txBody>
    </xdr:sp>
    <xdr:clientData/>
  </xdr:twoCellAnchor>
  <xdr:twoCellAnchor>
    <xdr:from>
      <xdr:col>6</xdr:col>
      <xdr:colOff>742950</xdr:colOff>
      <xdr:row>14</xdr:row>
      <xdr:rowOff>112939</xdr:rowOff>
    </xdr:from>
    <xdr:to>
      <xdr:col>7</xdr:col>
      <xdr:colOff>240846</xdr:colOff>
      <xdr:row>15</xdr:row>
      <xdr:rowOff>99332</xdr:rowOff>
    </xdr:to>
    <xdr:sp macro="" textlink="">
      <xdr:nvSpPr>
        <xdr:cNvPr id="78" name="CuadroTexto 77"/>
        <xdr:cNvSpPr txBox="1"/>
      </xdr:nvSpPr>
      <xdr:spPr>
        <a:xfrm>
          <a:off x="8077200" y="3189514"/>
          <a:ext cx="517071" cy="176893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Ion</a:t>
          </a:r>
        </a:p>
      </xdr:txBody>
    </xdr:sp>
    <xdr:clientData/>
  </xdr:twoCellAnchor>
  <xdr:twoCellAnchor>
    <xdr:from>
      <xdr:col>3</xdr:col>
      <xdr:colOff>54429</xdr:colOff>
      <xdr:row>16</xdr:row>
      <xdr:rowOff>176893</xdr:rowOff>
    </xdr:from>
    <xdr:to>
      <xdr:col>3</xdr:col>
      <xdr:colOff>489857</xdr:colOff>
      <xdr:row>17</xdr:row>
      <xdr:rowOff>68036</xdr:rowOff>
    </xdr:to>
    <xdr:sp macro="" textlink="">
      <xdr:nvSpPr>
        <xdr:cNvPr id="80" name="Rectángulo 79"/>
        <xdr:cNvSpPr/>
      </xdr:nvSpPr>
      <xdr:spPr>
        <a:xfrm>
          <a:off x="5378904" y="3634468"/>
          <a:ext cx="435428" cy="8164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167368</xdr:rowOff>
    </xdr:from>
    <xdr:to>
      <xdr:col>10</xdr:col>
      <xdr:colOff>495300</xdr:colOff>
      <xdr:row>17</xdr:row>
      <xdr:rowOff>58511</xdr:rowOff>
    </xdr:to>
    <xdr:sp macro="" textlink="">
      <xdr:nvSpPr>
        <xdr:cNvPr id="82" name="Flecha derecha 81"/>
        <xdr:cNvSpPr/>
      </xdr:nvSpPr>
      <xdr:spPr>
        <a:xfrm>
          <a:off x="5328557" y="3624943"/>
          <a:ext cx="6082393" cy="81643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250371</xdr:colOff>
      <xdr:row>15</xdr:row>
      <xdr:rowOff>31296</xdr:rowOff>
    </xdr:from>
    <xdr:to>
      <xdr:col>10</xdr:col>
      <xdr:colOff>100693</xdr:colOff>
      <xdr:row>16</xdr:row>
      <xdr:rowOff>126546</xdr:rowOff>
    </xdr:to>
    <xdr:sp macro="" textlink="">
      <xdr:nvSpPr>
        <xdr:cNvPr id="83" name="CuadroTexto 82"/>
        <xdr:cNvSpPr txBox="1"/>
      </xdr:nvSpPr>
      <xdr:spPr>
        <a:xfrm>
          <a:off x="10404021" y="3298371"/>
          <a:ext cx="612322" cy="28575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Von</a:t>
          </a:r>
        </a:p>
      </xdr:txBody>
    </xdr:sp>
    <xdr:clientData/>
  </xdr:twoCellAnchor>
  <xdr:twoCellAnchor>
    <xdr:from>
      <xdr:col>6</xdr:col>
      <xdr:colOff>742950</xdr:colOff>
      <xdr:row>14</xdr:row>
      <xdr:rowOff>112939</xdr:rowOff>
    </xdr:from>
    <xdr:to>
      <xdr:col>7</xdr:col>
      <xdr:colOff>240846</xdr:colOff>
      <xdr:row>15</xdr:row>
      <xdr:rowOff>99332</xdr:rowOff>
    </xdr:to>
    <xdr:sp macro="" textlink="">
      <xdr:nvSpPr>
        <xdr:cNvPr id="87" name="CuadroTexto 86"/>
        <xdr:cNvSpPr txBox="1"/>
      </xdr:nvSpPr>
      <xdr:spPr>
        <a:xfrm>
          <a:off x="8077200" y="3189514"/>
          <a:ext cx="517071" cy="176893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Ion</a:t>
          </a:r>
        </a:p>
      </xdr:txBody>
    </xdr:sp>
    <xdr:clientData/>
  </xdr:twoCellAnchor>
  <xdr:twoCellAnchor>
    <xdr:from>
      <xdr:col>3</xdr:col>
      <xdr:colOff>44904</xdr:colOff>
      <xdr:row>16</xdr:row>
      <xdr:rowOff>180975</xdr:rowOff>
    </xdr:from>
    <xdr:to>
      <xdr:col>3</xdr:col>
      <xdr:colOff>480332</xdr:colOff>
      <xdr:row>17</xdr:row>
      <xdr:rowOff>72118</xdr:rowOff>
    </xdr:to>
    <xdr:sp macro="" textlink="">
      <xdr:nvSpPr>
        <xdr:cNvPr id="89" name="Rectángulo 88"/>
        <xdr:cNvSpPr/>
      </xdr:nvSpPr>
      <xdr:spPr>
        <a:xfrm>
          <a:off x="5369379" y="3638550"/>
          <a:ext cx="435428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797379</xdr:colOff>
      <xdr:row>15</xdr:row>
      <xdr:rowOff>167368</xdr:rowOff>
    </xdr:from>
    <xdr:to>
      <xdr:col>7</xdr:col>
      <xdr:colOff>281668</xdr:colOff>
      <xdr:row>16</xdr:row>
      <xdr:rowOff>58511</xdr:rowOff>
    </xdr:to>
    <xdr:sp macro="" textlink="">
      <xdr:nvSpPr>
        <xdr:cNvPr id="94" name="Flecha izquierda 93"/>
        <xdr:cNvSpPr/>
      </xdr:nvSpPr>
      <xdr:spPr>
        <a:xfrm>
          <a:off x="8131629" y="3434443"/>
          <a:ext cx="503464" cy="81643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742950</xdr:colOff>
      <xdr:row>14</xdr:row>
      <xdr:rowOff>112939</xdr:rowOff>
    </xdr:from>
    <xdr:to>
      <xdr:col>7</xdr:col>
      <xdr:colOff>240846</xdr:colOff>
      <xdr:row>15</xdr:row>
      <xdr:rowOff>99332</xdr:rowOff>
    </xdr:to>
    <xdr:sp macro="" textlink="">
      <xdr:nvSpPr>
        <xdr:cNvPr id="95" name="CuadroTexto 94"/>
        <xdr:cNvSpPr txBox="1"/>
      </xdr:nvSpPr>
      <xdr:spPr>
        <a:xfrm>
          <a:off x="8077200" y="3189514"/>
          <a:ext cx="517071" cy="176893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Ion</a:t>
          </a:r>
        </a:p>
      </xdr:txBody>
    </xdr:sp>
    <xdr:clientData/>
  </xdr:twoCellAnchor>
  <xdr:twoCellAnchor>
    <xdr:from>
      <xdr:col>3</xdr:col>
      <xdr:colOff>44904</xdr:colOff>
      <xdr:row>16</xdr:row>
      <xdr:rowOff>180975</xdr:rowOff>
    </xdr:from>
    <xdr:to>
      <xdr:col>3</xdr:col>
      <xdr:colOff>480332</xdr:colOff>
      <xdr:row>17</xdr:row>
      <xdr:rowOff>72118</xdr:rowOff>
    </xdr:to>
    <xdr:sp macro="" textlink="">
      <xdr:nvSpPr>
        <xdr:cNvPr id="97" name="Rectángulo 96"/>
        <xdr:cNvSpPr/>
      </xdr:nvSpPr>
      <xdr:spPr>
        <a:xfrm>
          <a:off x="5369379" y="3638550"/>
          <a:ext cx="435428" cy="81643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99" name="Conector recto de flecha 98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00" name="Flecha izquierda 99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01" name="CuadroTexto 100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02" name="Conector recto de flecha 101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03" name="Flecha izquierda 102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04" name="CuadroTexto 103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54428</xdr:colOff>
      <xdr:row>16</xdr:row>
      <xdr:rowOff>176893</xdr:rowOff>
    </xdr:from>
    <xdr:to>
      <xdr:col>3</xdr:col>
      <xdr:colOff>476250</xdr:colOff>
      <xdr:row>17</xdr:row>
      <xdr:rowOff>54429</xdr:rowOff>
    </xdr:to>
    <xdr:sp macro="" textlink="">
      <xdr:nvSpPr>
        <xdr:cNvPr id="106" name="Rectángulo 105"/>
        <xdr:cNvSpPr/>
      </xdr:nvSpPr>
      <xdr:spPr>
        <a:xfrm>
          <a:off x="5378903" y="3634468"/>
          <a:ext cx="421822" cy="68036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07" name="Conector recto de flecha 106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08" name="Flecha izquierda 107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09" name="CuadroTexto 108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11" name="Rectángulo 110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12" name="Conector recto de flecha 111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13" name="Flecha izquierda 112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14" name="CuadroTexto 113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16" name="Rectángulo 115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18" name="Rectángulo 117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19" name="Conector recto de flecha 118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20" name="Flecha izquierda 119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21" name="CuadroTexto 120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23" name="Rectángulo 122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24" name="Conector recto de flecha 123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25" name="Flecha izquierda 124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26" name="CuadroTexto 125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28" name="Rectángulo 127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30" name="Rectángulo 129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32" name="Rectángulo 131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33" name="Conector recto de flecha 132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34" name="Flecha izquierda 133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35" name="CuadroTexto 134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37" name="Rectángulo 136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38" name="Conector recto de flecha 137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39" name="Flecha izquierda 138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40" name="CuadroTexto 139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42" name="Rectángulo 141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43" name="Conector recto de flecha 142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44" name="Flecha izquierda 143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45" name="CuadroTexto 144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47" name="Rectángulo 146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48" name="Conector recto de flecha 147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49" name="Flecha izquierda 148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50" name="CuadroTexto 149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52" name="Rectángulo 151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53" name="Conector recto de flecha 152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54" name="Flecha izquierda 153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55" name="CuadroTexto 154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57" name="Rectángulo 156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59" name="Rectángulo 158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60" name="Conector recto de flecha 159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61" name="Flecha izquierda 160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62" name="CuadroTexto 161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64" name="Rectángulo 163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65" name="Conector recto de flecha 164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66" name="Flecha izquierda 165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67" name="CuadroTexto 166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69" name="Rectángulo 168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70" name="Conector recto de flecha 169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71" name="Flecha izquierda 170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72" name="CuadroTexto 171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74" name="Rectángulo 173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76" name="Rectángulo 175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77" name="Conector recto de flecha 176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78" name="Flecha izquierda 177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79" name="CuadroTexto 178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81" name="Rectángulo 180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82" name="Conector recto de flecha 181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83" name="Flecha izquierda 182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84" name="CuadroTexto 183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86" name="Rectángulo 185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87" name="Conector recto de flecha 186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88" name="Flecha izquierda 187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89" name="CuadroTexto 188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91" name="Rectángulo 190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93" name="Rectángulo 192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94" name="Conector recto de flecha 193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195" name="Flecha izquierda 194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196" name="CuadroTexto 195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198" name="Rectángulo 197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199" name="Conector recto de flecha 198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00" name="Flecha izquierda 199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01" name="CuadroTexto 200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03" name="Rectángulo 202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04" name="Conector recto de flecha 203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05" name="Flecha izquierda 204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06" name="CuadroTexto 205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08" name="Rectángulo 207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09" name="Conector recto de flecha 208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10" name="Flecha izquierda 209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11" name="CuadroTexto 210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13" name="Rectángulo 212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14" name="Conector recto de flecha 213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15" name="Flecha izquierda 214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16" name="CuadroTexto 215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18" name="Rectángulo 217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19" name="Conector recto de flecha 218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20" name="Flecha izquierda 219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21" name="CuadroTexto 220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22" name="Conector recto de flecha 221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23" name="Flecha izquierda 222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24" name="CuadroTexto 223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26" name="Rectángulo 225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27" name="Conector recto de flecha 226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28" name="Flecha izquierda 227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29" name="CuadroTexto 228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31" name="Rectángulo 230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33" name="Rectángulo 232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34" name="Conector recto de flecha 233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35" name="Flecha izquierda 234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36" name="CuadroTexto 235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38" name="Rectángulo 237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39" name="Conector recto de flecha 238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40" name="Flecha izquierda 239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41" name="CuadroTexto 240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43" name="Rectángulo 242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44" name="Conector recto de flecha 243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45" name="Flecha izquierda 244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46" name="CuadroTexto 245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48" name="Rectángulo 247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50" name="Rectángulo 249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52" name="Rectángulo 251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53" name="Conector recto de flecha 252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54" name="Flecha izquierda 253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55" name="CuadroTexto 254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57" name="Rectángulo 256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58" name="Conector recto de flecha 257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59" name="Flecha izquierda 258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60" name="CuadroTexto 259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62" name="Rectángulo 261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63" name="Conector recto de flecha 262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64" name="Flecha izquierda 263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65" name="CuadroTexto 264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67" name="Rectángulo 266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69" name="Rectángulo 268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70" name="Conector recto de flecha 269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71" name="Flecha izquierda 270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72" name="CuadroTexto 271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74" name="Rectángulo 273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75" name="Conector recto de flecha 274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76" name="Flecha izquierda 275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77" name="CuadroTexto 276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79" name="Rectángulo 278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80" name="Conector recto de flecha 279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81" name="Flecha izquierda 280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82" name="CuadroTexto 281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84" name="Rectángulo 283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86" name="Rectángulo 285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87" name="Conector recto de flecha 286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88" name="Flecha izquierda 287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89" name="CuadroTexto 288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91" name="Rectángulo 290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92" name="Conector recto de flecha 291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93" name="Flecha izquierda 292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94" name="CuadroTexto 293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296" name="Rectángulo 295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297" name="Conector recto de flecha 296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298" name="Flecha izquierda 297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299" name="CuadroTexto 298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01" name="Rectángulo 300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02" name="Conector recto de flecha 301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03" name="Flecha izquierda 302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04" name="CuadroTexto 303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06" name="Rectángulo 305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07" name="Conector recto de flecha 306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08" name="Flecha izquierda 307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09" name="CuadroTexto 308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10" name="Conector recto de flecha 309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11" name="Flecha izquierda 310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12" name="CuadroTexto 311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14" name="Rectángulo 313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15" name="Conector recto de flecha 314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16" name="Flecha izquierda 315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17" name="CuadroTexto 316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19" name="Rectángulo 318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20" name="Conector recto de flecha 319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21" name="Flecha izquierda 320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22" name="CuadroTexto 321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24" name="Rectángulo 323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25" name="Conector recto de flecha 324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26" name="Flecha izquierda 325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27" name="CuadroTexto 326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29" name="Rectángulo 328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30" name="Conector recto de flecha 329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31" name="Flecha izquierda 330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32" name="CuadroTexto 331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34" name="Rectángulo 333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35" name="Conector recto de flecha 334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36" name="Flecha izquierda 335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37" name="CuadroTexto 336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39" name="Rectángulo 338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40" name="Conector recto de flecha 339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41" name="Flecha izquierda 340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42" name="CuadroTexto 341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44" name="Rectángulo 343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45" name="Conector recto de flecha 344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46" name="Flecha izquierda 345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47" name="CuadroTexto 346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49" name="Rectángulo 348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50" name="Conector recto de flecha 349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16</xdr:row>
      <xdr:rowOff>67220</xdr:rowOff>
    </xdr:from>
    <xdr:to>
      <xdr:col>8</xdr:col>
      <xdr:colOff>368754</xdr:colOff>
      <xdr:row>16</xdr:row>
      <xdr:rowOff>112939</xdr:rowOff>
    </xdr:to>
    <xdr:sp macro="" textlink="">
      <xdr:nvSpPr>
        <xdr:cNvPr id="351" name="Flecha izquierda 350"/>
        <xdr:cNvSpPr/>
      </xdr:nvSpPr>
      <xdr:spPr>
        <a:xfrm>
          <a:off x="8858250" y="3524795"/>
          <a:ext cx="625929" cy="4571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409575</xdr:colOff>
      <xdr:row>14</xdr:row>
      <xdr:rowOff>85725</xdr:rowOff>
    </xdr:from>
    <xdr:to>
      <xdr:col>8</xdr:col>
      <xdr:colOff>423182</xdr:colOff>
      <xdr:row>15</xdr:row>
      <xdr:rowOff>126546</xdr:rowOff>
    </xdr:to>
    <xdr:sp macro="" textlink="">
      <xdr:nvSpPr>
        <xdr:cNvPr id="352" name="CuadroTexto 351"/>
        <xdr:cNvSpPr txBox="1"/>
      </xdr:nvSpPr>
      <xdr:spPr>
        <a:xfrm>
          <a:off x="8763000" y="3162300"/>
          <a:ext cx="775607" cy="23132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indent="0"/>
          <a:r>
            <a:rPr lang="es-E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Ineutro</a:t>
          </a:r>
        </a:p>
      </xdr:txBody>
    </xdr:sp>
    <xdr:clientData/>
  </xdr:twoCellAnchor>
  <xdr:twoCellAnchor>
    <xdr:from>
      <xdr:col>3</xdr:col>
      <xdr:colOff>50346</xdr:colOff>
      <xdr:row>16</xdr:row>
      <xdr:rowOff>180975</xdr:rowOff>
    </xdr:from>
    <xdr:to>
      <xdr:col>3</xdr:col>
      <xdr:colOff>472168</xdr:colOff>
      <xdr:row>17</xdr:row>
      <xdr:rowOff>58511</xdr:rowOff>
    </xdr:to>
    <xdr:sp macro="" textlink="">
      <xdr:nvSpPr>
        <xdr:cNvPr id="354" name="Rectángulo 353"/>
        <xdr:cNvSpPr/>
      </xdr:nvSpPr>
      <xdr:spPr>
        <a:xfrm>
          <a:off x="5374821" y="36385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55" name="Conector recto de flecha 354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58" name="Conector recto de flecha 357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362" name="Rectángulo 361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63" name="Conector recto de flecha 362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367" name="Rectángulo 366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68" name="Conector recto de flecha 367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4082</xdr:colOff>
      <xdr:row>17</xdr:row>
      <xdr:rowOff>6804</xdr:rowOff>
    </xdr:from>
    <xdr:to>
      <xdr:col>10</xdr:col>
      <xdr:colOff>680357</xdr:colOff>
      <xdr:row>17</xdr:row>
      <xdr:rowOff>17690</xdr:rowOff>
    </xdr:to>
    <xdr:cxnSp macro="">
      <xdr:nvCxnSpPr>
        <xdr:cNvPr id="371" name="Conector recto de flecha 370"/>
        <xdr:cNvCxnSpPr>
          <a:stCxn id="82" idx="1"/>
          <a:endCxn id="33" idx="3"/>
        </xdr:cNvCxnSpPr>
      </xdr:nvCxnSpPr>
      <xdr:spPr>
        <a:xfrm flipV="1">
          <a:off x="5328557" y="3654879"/>
          <a:ext cx="6267450" cy="10886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375" name="Rectángulo 374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377" name="Rectángulo 376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4082</xdr:colOff>
      <xdr:row>16</xdr:row>
      <xdr:rowOff>163286</xdr:rowOff>
    </xdr:from>
    <xdr:to>
      <xdr:col>10</xdr:col>
      <xdr:colOff>479652</xdr:colOff>
      <xdr:row>17</xdr:row>
      <xdr:rowOff>17690</xdr:rowOff>
    </xdr:to>
    <xdr:cxnSp macro="">
      <xdr:nvCxnSpPr>
        <xdr:cNvPr id="378" name="Conector recto de flecha 377"/>
        <xdr:cNvCxnSpPr>
          <a:stCxn id="82" idx="1"/>
          <a:endCxn id="33" idx="0"/>
        </xdr:cNvCxnSpPr>
      </xdr:nvCxnSpPr>
      <xdr:spPr>
        <a:xfrm flipV="1">
          <a:off x="4506809" y="3869377"/>
          <a:ext cx="6987207" cy="44904"/>
        </a:xfrm>
        <a:prstGeom prst="straightConnector1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50346</xdr:colOff>
      <xdr:row>15</xdr:row>
      <xdr:rowOff>66675</xdr:rowOff>
    </xdr:from>
    <xdr:to>
      <xdr:col>3</xdr:col>
      <xdr:colOff>472168</xdr:colOff>
      <xdr:row>15</xdr:row>
      <xdr:rowOff>134711</xdr:rowOff>
    </xdr:to>
    <xdr:sp macro="" textlink="">
      <xdr:nvSpPr>
        <xdr:cNvPr id="382" name="Rectángulo 381"/>
        <xdr:cNvSpPr/>
      </xdr:nvSpPr>
      <xdr:spPr>
        <a:xfrm>
          <a:off x="5374821" y="3333750"/>
          <a:ext cx="421822" cy="68036"/>
        </a:xfrm>
        <a:prstGeom prst="rect">
          <a:avLst/>
        </a:prstGeom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217714</xdr:colOff>
      <xdr:row>16</xdr:row>
      <xdr:rowOff>95250</xdr:rowOff>
    </xdr:from>
    <xdr:to>
      <xdr:col>7</xdr:col>
      <xdr:colOff>54428</xdr:colOff>
      <xdr:row>18</xdr:row>
      <xdr:rowOff>27214</xdr:rowOff>
    </xdr:to>
    <xdr:sp macro="" textlink="">
      <xdr:nvSpPr>
        <xdr:cNvPr id="383" name="Rectángulo 382"/>
        <xdr:cNvSpPr/>
      </xdr:nvSpPr>
      <xdr:spPr>
        <a:xfrm>
          <a:off x="6953250" y="3578679"/>
          <a:ext cx="598714" cy="31296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272142</xdr:colOff>
      <xdr:row>14</xdr:row>
      <xdr:rowOff>108856</xdr:rowOff>
    </xdr:from>
    <xdr:to>
      <xdr:col>7</xdr:col>
      <xdr:colOff>353785</xdr:colOff>
      <xdr:row>16</xdr:row>
      <xdr:rowOff>68034</xdr:rowOff>
    </xdr:to>
    <xdr:sp macro="" textlink="">
      <xdr:nvSpPr>
        <xdr:cNvPr id="384" name="CuadroTexto 383"/>
        <xdr:cNvSpPr txBox="1"/>
      </xdr:nvSpPr>
      <xdr:spPr>
        <a:xfrm>
          <a:off x="7102928" y="3184070"/>
          <a:ext cx="843643" cy="34017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/>
            <a:t>Rpat</a:t>
          </a:r>
        </a:p>
        <a:p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733425</xdr:colOff>
      <xdr:row>7</xdr:row>
      <xdr:rowOff>57709</xdr:rowOff>
    </xdr:from>
    <xdr:to>
      <xdr:col>12</xdr:col>
      <xdr:colOff>0</xdr:colOff>
      <xdr:row>7</xdr:row>
      <xdr:rowOff>57709</xdr:rowOff>
    </xdr:to>
    <xdr:cxnSp macro="">
      <xdr:nvCxnSpPr>
        <xdr:cNvPr id="6" name="Conector recto 5"/>
        <xdr:cNvCxnSpPr/>
      </xdr:nvCxnSpPr>
      <xdr:spPr>
        <a:xfrm>
          <a:off x="3019425" y="1391209"/>
          <a:ext cx="61245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750794</xdr:colOff>
      <xdr:row>13</xdr:row>
      <xdr:rowOff>179294</xdr:rowOff>
    </xdr:from>
    <xdr:to>
      <xdr:col>12</xdr:col>
      <xdr:colOff>0</xdr:colOff>
      <xdr:row>14</xdr:row>
      <xdr:rowOff>11206</xdr:rowOff>
    </xdr:to>
    <xdr:cxnSp macro="">
      <xdr:nvCxnSpPr>
        <xdr:cNvPr id="14" name="Conector recto 13"/>
        <xdr:cNvCxnSpPr/>
      </xdr:nvCxnSpPr>
      <xdr:spPr>
        <a:xfrm flipV="1">
          <a:off x="3760694" y="3332069"/>
          <a:ext cx="6354856" cy="22412"/>
        </a:xfrm>
        <a:prstGeom prst="line">
          <a:avLst/>
        </a:prstGeom>
        <a:noFill/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dk1"/>
              </a:solidFill>
              <a:prstDash val="solid"/>
              <a:miter lim="800000"/>
            </a14:hiddenLine>
          </a:ext>
        </a:ex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67236</xdr:colOff>
      <xdr:row>13</xdr:row>
      <xdr:rowOff>56029</xdr:rowOff>
    </xdr:from>
    <xdr:to>
      <xdr:col>9</xdr:col>
      <xdr:colOff>672353</xdr:colOff>
      <xdr:row>13</xdr:row>
      <xdr:rowOff>56030</xdr:rowOff>
    </xdr:to>
    <xdr:cxnSp macro="">
      <xdr:nvCxnSpPr>
        <xdr:cNvPr id="15" name="Conector recto de flecha 14"/>
        <xdr:cNvCxnSpPr/>
      </xdr:nvCxnSpPr>
      <xdr:spPr>
        <a:xfrm flipH="1">
          <a:off x="7620561" y="3208804"/>
          <a:ext cx="605117" cy="1"/>
        </a:xfrm>
        <a:prstGeom prst="straightConnector1">
          <a:avLst/>
        </a:prstGeom>
        <a:noFill/>
        <a:ln w="6350" cap="flat" cmpd="sng" algn="ctr">
          <a:noFill/>
          <a:prstDash val="solid"/>
          <a:miter lim="800000"/>
          <a:tailEnd type="triangle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dk1"/>
              </a:solidFill>
              <a:prstDash val="solid"/>
              <a:miter lim="800000"/>
              <a:tailEnd type="triangle"/>
            </a14:hiddenLine>
          </a:ext>
        </a:ex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739588</xdr:colOff>
      <xdr:row>7</xdr:row>
      <xdr:rowOff>11206</xdr:rowOff>
    </xdr:from>
    <xdr:to>
      <xdr:col>4</xdr:col>
      <xdr:colOff>0</xdr:colOff>
      <xdr:row>13</xdr:row>
      <xdr:rowOff>179294</xdr:rowOff>
    </xdr:to>
    <xdr:cxnSp macro="">
      <xdr:nvCxnSpPr>
        <xdr:cNvPr id="16" name="Conector recto de flecha 15"/>
        <xdr:cNvCxnSpPr/>
      </xdr:nvCxnSpPr>
      <xdr:spPr>
        <a:xfrm flipV="1">
          <a:off x="3759013" y="2020981"/>
          <a:ext cx="3362" cy="131108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739588</xdr:colOff>
      <xdr:row>14</xdr:row>
      <xdr:rowOff>22412</xdr:rowOff>
    </xdr:from>
    <xdr:to>
      <xdr:col>4</xdr:col>
      <xdr:colOff>705970</xdr:colOff>
      <xdr:row>18</xdr:row>
      <xdr:rowOff>33618</xdr:rowOff>
    </xdr:to>
    <xdr:cxnSp macro="">
      <xdr:nvCxnSpPr>
        <xdr:cNvPr id="17" name="Conector recto de flecha 16"/>
        <xdr:cNvCxnSpPr/>
      </xdr:nvCxnSpPr>
      <xdr:spPr>
        <a:xfrm>
          <a:off x="3759013" y="3365687"/>
          <a:ext cx="709332" cy="77320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717176</xdr:colOff>
      <xdr:row>13</xdr:row>
      <xdr:rowOff>179294</xdr:rowOff>
    </xdr:from>
    <xdr:to>
      <xdr:col>3</xdr:col>
      <xdr:colOff>750794</xdr:colOff>
      <xdr:row>17</xdr:row>
      <xdr:rowOff>168088</xdr:rowOff>
    </xdr:to>
    <xdr:cxnSp macro="">
      <xdr:nvCxnSpPr>
        <xdr:cNvPr id="18" name="Conector recto de flecha 17"/>
        <xdr:cNvCxnSpPr/>
      </xdr:nvCxnSpPr>
      <xdr:spPr>
        <a:xfrm flipH="1">
          <a:off x="2974601" y="3332069"/>
          <a:ext cx="786093" cy="75079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649940</xdr:colOff>
      <xdr:row>7</xdr:row>
      <xdr:rowOff>22412</xdr:rowOff>
    </xdr:from>
    <xdr:to>
      <xdr:col>3</xdr:col>
      <xdr:colOff>694765</xdr:colOff>
      <xdr:row>17</xdr:row>
      <xdr:rowOff>123264</xdr:rowOff>
    </xdr:to>
    <xdr:cxnSp macro="">
      <xdr:nvCxnSpPr>
        <xdr:cNvPr id="19" name="Conector recto de flecha 18"/>
        <xdr:cNvCxnSpPr/>
      </xdr:nvCxnSpPr>
      <xdr:spPr>
        <a:xfrm flipH="1">
          <a:off x="2173940" y="1355912"/>
          <a:ext cx="806825" cy="200585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729983</xdr:colOff>
      <xdr:row>17</xdr:row>
      <xdr:rowOff>176893</xdr:rowOff>
    </xdr:from>
    <xdr:to>
      <xdr:col>4</xdr:col>
      <xdr:colOff>598714</xdr:colOff>
      <xdr:row>17</xdr:row>
      <xdr:rowOff>180895</xdr:rowOff>
    </xdr:to>
    <xdr:cxnSp macro="">
      <xdr:nvCxnSpPr>
        <xdr:cNvPr id="20" name="Conector recto de flecha 19"/>
        <xdr:cNvCxnSpPr/>
      </xdr:nvCxnSpPr>
      <xdr:spPr>
        <a:xfrm flipV="1">
          <a:off x="2987408" y="4091668"/>
          <a:ext cx="1373681" cy="400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78441</xdr:colOff>
      <xdr:row>7</xdr:row>
      <xdr:rowOff>11206</xdr:rowOff>
    </xdr:from>
    <xdr:to>
      <xdr:col>4</xdr:col>
      <xdr:colOff>728383</xdr:colOff>
      <xdr:row>17</xdr:row>
      <xdr:rowOff>112059</xdr:rowOff>
    </xdr:to>
    <xdr:cxnSp macro="">
      <xdr:nvCxnSpPr>
        <xdr:cNvPr id="21" name="Conector recto de flecha 20"/>
        <xdr:cNvCxnSpPr/>
      </xdr:nvCxnSpPr>
      <xdr:spPr>
        <a:xfrm flipH="1" flipV="1">
          <a:off x="3840816" y="2020981"/>
          <a:ext cx="649942" cy="200585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739588</xdr:colOff>
      <xdr:row>7</xdr:row>
      <xdr:rowOff>44824</xdr:rowOff>
    </xdr:from>
    <xdr:to>
      <xdr:col>13</xdr:col>
      <xdr:colOff>78441</xdr:colOff>
      <xdr:row>18</xdr:row>
      <xdr:rowOff>22412</xdr:rowOff>
    </xdr:to>
    <xdr:sp macro="" textlink="">
      <xdr:nvSpPr>
        <xdr:cNvPr id="24" name="Triángulo isósceles 23"/>
        <xdr:cNvSpPr/>
      </xdr:nvSpPr>
      <xdr:spPr>
        <a:xfrm>
          <a:off x="9536206" y="1378324"/>
          <a:ext cx="1624853" cy="2073088"/>
        </a:xfrm>
        <a:prstGeom prst="triangl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201706</xdr:colOff>
      <xdr:row>11</xdr:row>
      <xdr:rowOff>168088</xdr:rowOff>
    </xdr:from>
    <xdr:to>
      <xdr:col>11</xdr:col>
      <xdr:colOff>525555</xdr:colOff>
      <xdr:row>14</xdr:row>
      <xdr:rowOff>6723</xdr:rowOff>
    </xdr:to>
    <xdr:sp macro="" textlink="">
      <xdr:nvSpPr>
        <xdr:cNvPr id="26" name="Rectángulo 25"/>
        <xdr:cNvSpPr/>
      </xdr:nvSpPr>
      <xdr:spPr>
        <a:xfrm rot="1326621">
          <a:off x="9760324" y="2263588"/>
          <a:ext cx="323849" cy="410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Z1</a:t>
          </a:r>
        </a:p>
      </xdr:txBody>
    </xdr:sp>
    <xdr:clientData/>
  </xdr:twoCellAnchor>
  <xdr:twoCellAnchor>
    <xdr:from>
      <xdr:col>12</xdr:col>
      <xdr:colOff>257735</xdr:colOff>
      <xdr:row>11</xdr:row>
      <xdr:rowOff>156881</xdr:rowOff>
    </xdr:from>
    <xdr:to>
      <xdr:col>12</xdr:col>
      <xdr:colOff>581584</xdr:colOff>
      <xdr:row>13</xdr:row>
      <xdr:rowOff>186016</xdr:rowOff>
    </xdr:to>
    <xdr:sp macro="" textlink="">
      <xdr:nvSpPr>
        <xdr:cNvPr id="27" name="Rectángulo 26"/>
        <xdr:cNvSpPr/>
      </xdr:nvSpPr>
      <xdr:spPr>
        <a:xfrm rot="20218789">
          <a:off x="9401735" y="2252381"/>
          <a:ext cx="323849" cy="410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Z3</a:t>
          </a:r>
        </a:p>
      </xdr:txBody>
    </xdr:sp>
    <xdr:clientData/>
  </xdr:twoCellAnchor>
  <xdr:twoCellAnchor>
    <xdr:from>
      <xdr:col>11</xdr:col>
      <xdr:colOff>560295</xdr:colOff>
      <xdr:row>16</xdr:row>
      <xdr:rowOff>123263</xdr:rowOff>
    </xdr:from>
    <xdr:to>
      <xdr:col>12</xdr:col>
      <xdr:colOff>122144</xdr:colOff>
      <xdr:row>18</xdr:row>
      <xdr:rowOff>152398</xdr:rowOff>
    </xdr:to>
    <xdr:sp macro="" textlink="">
      <xdr:nvSpPr>
        <xdr:cNvPr id="28" name="Rectángulo 27"/>
        <xdr:cNvSpPr/>
      </xdr:nvSpPr>
      <xdr:spPr>
        <a:xfrm>
          <a:off x="8942295" y="3171263"/>
          <a:ext cx="323849" cy="410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Z2</a:t>
          </a:r>
        </a:p>
      </xdr:txBody>
    </xdr:sp>
    <xdr:clientData/>
  </xdr:twoCellAnchor>
  <xdr:twoCellAnchor>
    <xdr:from>
      <xdr:col>4</xdr:col>
      <xdr:colOff>672353</xdr:colOff>
      <xdr:row>18</xdr:row>
      <xdr:rowOff>22412</xdr:rowOff>
    </xdr:from>
    <xdr:to>
      <xdr:col>4</xdr:col>
      <xdr:colOff>672353</xdr:colOff>
      <xdr:row>21</xdr:row>
      <xdr:rowOff>78441</xdr:rowOff>
    </xdr:to>
    <xdr:cxnSp macro="">
      <xdr:nvCxnSpPr>
        <xdr:cNvPr id="30" name="Conector recto 29"/>
        <xdr:cNvCxnSpPr/>
      </xdr:nvCxnSpPr>
      <xdr:spPr>
        <a:xfrm>
          <a:off x="3720353" y="3451412"/>
          <a:ext cx="0" cy="627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683559</xdr:colOff>
      <xdr:row>21</xdr:row>
      <xdr:rowOff>67235</xdr:rowOff>
    </xdr:from>
    <xdr:to>
      <xdr:col>13</xdr:col>
      <xdr:colOff>67235</xdr:colOff>
      <xdr:row>21</xdr:row>
      <xdr:rowOff>89647</xdr:rowOff>
    </xdr:to>
    <xdr:cxnSp macro="">
      <xdr:nvCxnSpPr>
        <xdr:cNvPr id="32" name="Conector recto 31"/>
        <xdr:cNvCxnSpPr/>
      </xdr:nvCxnSpPr>
      <xdr:spPr>
        <a:xfrm>
          <a:off x="4908177" y="4067735"/>
          <a:ext cx="6241676" cy="224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78441</xdr:colOff>
      <xdr:row>18</xdr:row>
      <xdr:rowOff>22412</xdr:rowOff>
    </xdr:from>
    <xdr:to>
      <xdr:col>13</xdr:col>
      <xdr:colOff>78441</xdr:colOff>
      <xdr:row>21</xdr:row>
      <xdr:rowOff>100853</xdr:rowOff>
    </xdr:to>
    <xdr:cxnSp macro="">
      <xdr:nvCxnSpPr>
        <xdr:cNvPr id="34" name="Conector recto 33"/>
        <xdr:cNvCxnSpPr>
          <a:endCxn id="24" idx="4"/>
        </xdr:cNvCxnSpPr>
      </xdr:nvCxnSpPr>
      <xdr:spPr>
        <a:xfrm flipV="1">
          <a:off x="11161059" y="3451412"/>
          <a:ext cx="0" cy="649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717176</xdr:colOff>
      <xdr:row>18</xdr:row>
      <xdr:rowOff>0</xdr:rowOff>
    </xdr:from>
    <xdr:to>
      <xdr:col>2</xdr:col>
      <xdr:colOff>728382</xdr:colOff>
      <xdr:row>20</xdr:row>
      <xdr:rowOff>112059</xdr:rowOff>
    </xdr:to>
    <xdr:cxnSp macro="">
      <xdr:nvCxnSpPr>
        <xdr:cNvPr id="36" name="Conector recto 35"/>
        <xdr:cNvCxnSpPr/>
      </xdr:nvCxnSpPr>
      <xdr:spPr>
        <a:xfrm>
          <a:off x="2241176" y="3429000"/>
          <a:ext cx="11206" cy="49305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717176</xdr:colOff>
      <xdr:row>20</xdr:row>
      <xdr:rowOff>112059</xdr:rowOff>
    </xdr:from>
    <xdr:to>
      <xdr:col>11</xdr:col>
      <xdr:colOff>11206</xdr:colOff>
      <xdr:row>20</xdr:row>
      <xdr:rowOff>123265</xdr:rowOff>
    </xdr:to>
    <xdr:cxnSp macro="">
      <xdr:nvCxnSpPr>
        <xdr:cNvPr id="38" name="Conector recto 37"/>
        <xdr:cNvCxnSpPr/>
      </xdr:nvCxnSpPr>
      <xdr:spPr>
        <a:xfrm>
          <a:off x="2241176" y="3922059"/>
          <a:ext cx="6152030" cy="112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739588</xdr:colOff>
      <xdr:row>18</xdr:row>
      <xdr:rowOff>22412</xdr:rowOff>
    </xdr:from>
    <xdr:to>
      <xdr:col>10</xdr:col>
      <xdr:colOff>750794</xdr:colOff>
      <xdr:row>20</xdr:row>
      <xdr:rowOff>100853</xdr:rowOff>
    </xdr:to>
    <xdr:cxnSp macro="">
      <xdr:nvCxnSpPr>
        <xdr:cNvPr id="40" name="Conector recto 39"/>
        <xdr:cNvCxnSpPr>
          <a:endCxn id="24" idx="2"/>
        </xdr:cNvCxnSpPr>
      </xdr:nvCxnSpPr>
      <xdr:spPr>
        <a:xfrm flipH="1" flipV="1">
          <a:off x="9536206" y="3451412"/>
          <a:ext cx="11206" cy="4594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705970</xdr:colOff>
      <xdr:row>7</xdr:row>
      <xdr:rowOff>0</xdr:rowOff>
    </xdr:from>
    <xdr:to>
      <xdr:col>8</xdr:col>
      <xdr:colOff>605118</xdr:colOff>
      <xdr:row>7</xdr:row>
      <xdr:rowOff>11206</xdr:rowOff>
    </xdr:to>
    <xdr:cxnSp macro="">
      <xdr:nvCxnSpPr>
        <xdr:cNvPr id="47" name="Conector recto de flecha 46"/>
        <xdr:cNvCxnSpPr/>
      </xdr:nvCxnSpPr>
      <xdr:spPr>
        <a:xfrm flipV="1">
          <a:off x="7216588" y="1333500"/>
          <a:ext cx="661148" cy="1120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1490383</xdr:colOff>
      <xdr:row>1</xdr:row>
      <xdr:rowOff>90666</xdr:rowOff>
    </xdr:from>
    <xdr:to>
      <xdr:col>0</xdr:col>
      <xdr:colOff>1790700</xdr:colOff>
      <xdr:row>1</xdr:row>
      <xdr:rowOff>90666</xdr:rowOff>
    </xdr:to>
    <xdr:cxnSp macro="">
      <xdr:nvCxnSpPr>
        <xdr:cNvPr id="48" name="Conector recto de flecha 47"/>
        <xdr:cNvCxnSpPr/>
      </xdr:nvCxnSpPr>
      <xdr:spPr>
        <a:xfrm>
          <a:off x="1490383" y="281166"/>
          <a:ext cx="30031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1540009</xdr:colOff>
      <xdr:row>10</xdr:row>
      <xdr:rowOff>98451</xdr:rowOff>
    </xdr:from>
    <xdr:to>
      <xdr:col>0</xdr:col>
      <xdr:colOff>1868901</xdr:colOff>
      <xdr:row>10</xdr:row>
      <xdr:rowOff>98451</xdr:rowOff>
    </xdr:to>
    <xdr:cxnSp macro="">
      <xdr:nvCxnSpPr>
        <xdr:cNvPr id="49" name="Conector recto de flecha 48"/>
        <xdr:cNvCxnSpPr/>
      </xdr:nvCxnSpPr>
      <xdr:spPr>
        <a:xfrm>
          <a:off x="1540009" y="2003451"/>
          <a:ext cx="32889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1588034</xdr:colOff>
      <xdr:row>13</xdr:row>
      <xdr:rowOff>92048</xdr:rowOff>
    </xdr:from>
    <xdr:to>
      <xdr:col>0</xdr:col>
      <xdr:colOff>1821676</xdr:colOff>
      <xdr:row>13</xdr:row>
      <xdr:rowOff>92048</xdr:rowOff>
    </xdr:to>
    <xdr:cxnSp macro="">
      <xdr:nvCxnSpPr>
        <xdr:cNvPr id="50" name="Conector recto de flecha 49"/>
        <xdr:cNvCxnSpPr/>
      </xdr:nvCxnSpPr>
      <xdr:spPr>
        <a:xfrm>
          <a:off x="1588034" y="2568548"/>
          <a:ext cx="2336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560293</xdr:colOff>
      <xdr:row>22</xdr:row>
      <xdr:rowOff>11206</xdr:rowOff>
    </xdr:from>
    <xdr:to>
      <xdr:col>7</xdr:col>
      <xdr:colOff>380999</xdr:colOff>
      <xdr:row>22</xdr:row>
      <xdr:rowOff>11206</xdr:rowOff>
    </xdr:to>
    <xdr:cxnSp macro="">
      <xdr:nvCxnSpPr>
        <xdr:cNvPr id="53" name="Conector recto de flecha 52"/>
        <xdr:cNvCxnSpPr/>
      </xdr:nvCxnSpPr>
      <xdr:spPr>
        <a:xfrm>
          <a:off x="7149352" y="4303059"/>
          <a:ext cx="94129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582705</xdr:colOff>
      <xdr:row>20</xdr:row>
      <xdr:rowOff>44823</xdr:rowOff>
    </xdr:from>
    <xdr:to>
      <xdr:col>8</xdr:col>
      <xdr:colOff>403411</xdr:colOff>
      <xdr:row>20</xdr:row>
      <xdr:rowOff>44823</xdr:rowOff>
    </xdr:to>
    <xdr:cxnSp macro="">
      <xdr:nvCxnSpPr>
        <xdr:cNvPr id="54" name="Conector recto de flecha 53"/>
        <xdr:cNvCxnSpPr/>
      </xdr:nvCxnSpPr>
      <xdr:spPr>
        <a:xfrm>
          <a:off x="7093323" y="3854823"/>
          <a:ext cx="58270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653143</xdr:colOff>
      <xdr:row>9</xdr:row>
      <xdr:rowOff>122464</xdr:rowOff>
    </xdr:from>
    <xdr:to>
      <xdr:col>13</xdr:col>
      <xdr:colOff>285750</xdr:colOff>
      <xdr:row>14</xdr:row>
      <xdr:rowOff>95250</xdr:rowOff>
    </xdr:to>
    <xdr:cxnSp macro="">
      <xdr:nvCxnSpPr>
        <xdr:cNvPr id="3" name="Conector recto de flecha 2"/>
        <xdr:cNvCxnSpPr/>
      </xdr:nvCxnSpPr>
      <xdr:spPr>
        <a:xfrm>
          <a:off x="12532179" y="2272393"/>
          <a:ext cx="394607" cy="9252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244928</xdr:colOff>
      <xdr:row>17</xdr:row>
      <xdr:rowOff>81642</xdr:rowOff>
    </xdr:from>
    <xdr:to>
      <xdr:col>12</xdr:col>
      <xdr:colOff>598714</xdr:colOff>
      <xdr:row>17</xdr:row>
      <xdr:rowOff>81642</xdr:rowOff>
    </xdr:to>
    <xdr:cxnSp macro="">
      <xdr:nvCxnSpPr>
        <xdr:cNvPr id="5" name="Conector recto de flecha 4"/>
        <xdr:cNvCxnSpPr/>
      </xdr:nvCxnSpPr>
      <xdr:spPr>
        <a:xfrm flipH="1">
          <a:off x="12123964" y="3755571"/>
          <a:ext cx="35378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435428</xdr:colOff>
      <xdr:row>9</xdr:row>
      <xdr:rowOff>176892</xdr:rowOff>
    </xdr:from>
    <xdr:to>
      <xdr:col>11</xdr:col>
      <xdr:colOff>108857</xdr:colOff>
      <xdr:row>15</xdr:row>
      <xdr:rowOff>54428</xdr:rowOff>
    </xdr:to>
    <xdr:cxnSp macro="">
      <xdr:nvCxnSpPr>
        <xdr:cNvPr id="8" name="Conector recto de flecha 7"/>
        <xdr:cNvCxnSpPr/>
      </xdr:nvCxnSpPr>
      <xdr:spPr>
        <a:xfrm flipV="1">
          <a:off x="10790464" y="2326821"/>
          <a:ext cx="435429" cy="102053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176891</xdr:colOff>
      <xdr:row>11</xdr:row>
      <xdr:rowOff>0</xdr:rowOff>
    </xdr:from>
    <xdr:to>
      <xdr:col>10</xdr:col>
      <xdr:colOff>612320</xdr:colOff>
      <xdr:row>13</xdr:row>
      <xdr:rowOff>27214</xdr:rowOff>
    </xdr:to>
    <xdr:sp macro="" textlink="">
      <xdr:nvSpPr>
        <xdr:cNvPr id="9" name="CuadroTexto 8"/>
        <xdr:cNvSpPr txBox="1"/>
      </xdr:nvSpPr>
      <xdr:spPr>
        <a:xfrm>
          <a:off x="10531927" y="2530929"/>
          <a:ext cx="435429" cy="40821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/>
            <a:t>Ica</a:t>
          </a:r>
        </a:p>
      </xdr:txBody>
    </xdr:sp>
    <xdr:clientData/>
  </xdr:twoCellAnchor>
  <xdr:twoCellAnchor>
    <xdr:from>
      <xdr:col>12</xdr:col>
      <xdr:colOff>204106</xdr:colOff>
      <xdr:row>18</xdr:row>
      <xdr:rowOff>68035</xdr:rowOff>
    </xdr:from>
    <xdr:to>
      <xdr:col>12</xdr:col>
      <xdr:colOff>639535</xdr:colOff>
      <xdr:row>20</xdr:row>
      <xdr:rowOff>95249</xdr:rowOff>
    </xdr:to>
    <xdr:sp macro="" textlink="">
      <xdr:nvSpPr>
        <xdr:cNvPr id="35" name="CuadroTexto 34"/>
        <xdr:cNvSpPr txBox="1"/>
      </xdr:nvSpPr>
      <xdr:spPr>
        <a:xfrm>
          <a:off x="12083142" y="3932464"/>
          <a:ext cx="435429" cy="40821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/>
            <a:t>Icb</a:t>
          </a:r>
        </a:p>
      </xdr:txBody>
    </xdr:sp>
    <xdr:clientData/>
  </xdr:twoCellAnchor>
  <xdr:twoCellAnchor>
    <xdr:from>
      <xdr:col>13</xdr:col>
      <xdr:colOff>136070</xdr:colOff>
      <xdr:row>10</xdr:row>
      <xdr:rowOff>0</xdr:rowOff>
    </xdr:from>
    <xdr:to>
      <xdr:col>13</xdr:col>
      <xdr:colOff>571499</xdr:colOff>
      <xdr:row>12</xdr:row>
      <xdr:rowOff>27214</xdr:rowOff>
    </xdr:to>
    <xdr:sp macro="" textlink="">
      <xdr:nvSpPr>
        <xdr:cNvPr id="37" name="CuadroTexto 36"/>
        <xdr:cNvSpPr txBox="1"/>
      </xdr:nvSpPr>
      <xdr:spPr>
        <a:xfrm>
          <a:off x="12777106" y="2340429"/>
          <a:ext cx="435429" cy="40821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/>
            <a:t>Iab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299358</xdr:colOff>
      <xdr:row>14</xdr:row>
      <xdr:rowOff>95249</xdr:rowOff>
    </xdr:from>
    <xdr:ext cx="6893816" cy="2564856"/>
    <xdr:pic>
      <xdr:nvPicPr>
        <xdr:cNvPr id="2" name="Imagen 1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3358" y="2762249"/>
          <a:ext cx="6893816" cy="2564856"/>
        </a:xfrm>
        <a:prstGeom prst="rect">
          <a:avLst/>
        </a:prstGeom>
      </xdr:spPr>
    </xdr:pic>
    <xdr:clientData/>
  </xdr:oneCellAnchor>
  <xdr:oneCellAnchor>
    <xdr:from>
      <xdr:col>12</xdr:col>
      <xdr:colOff>13608</xdr:colOff>
      <xdr:row>13</xdr:row>
      <xdr:rowOff>13606</xdr:rowOff>
    </xdr:from>
    <xdr:ext cx="6969969" cy="2843893"/>
    <xdr:pic>
      <xdr:nvPicPr>
        <xdr:cNvPr id="3" name="Imagen 2"/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7608" y="2490106"/>
          <a:ext cx="6969969" cy="2843893"/>
        </a:xfrm>
        <a:prstGeom prst="rect">
          <a:avLst/>
        </a:prstGeom>
      </xdr:spPr>
    </xdr:pic>
    <xdr:clientData/>
  </xdr:oneCellAnchor>
  <xdr:oneCellAnchor>
    <xdr:from>
      <xdr:col>12</xdr:col>
      <xdr:colOff>149678</xdr:colOff>
      <xdr:row>29</xdr:row>
      <xdr:rowOff>108857</xdr:rowOff>
    </xdr:from>
    <xdr:ext cx="6800831" cy="2238687"/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3678" y="5633357"/>
          <a:ext cx="6800831" cy="2238687"/>
        </a:xfrm>
        <a:prstGeom prst="rect">
          <a:avLst/>
        </a:prstGeom>
      </xdr:spPr>
    </xdr:pic>
    <xdr:clientData/>
  </xdr:oneCellAnchor>
  <xdr:oneCellAnchor>
    <xdr:from>
      <xdr:col>12</xdr:col>
      <xdr:colOff>585105</xdr:colOff>
      <xdr:row>42</xdr:row>
      <xdr:rowOff>27213</xdr:rowOff>
    </xdr:from>
    <xdr:ext cx="6302450" cy="1728107"/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29105" y="8028213"/>
          <a:ext cx="6302450" cy="1728107"/>
        </a:xfrm>
        <a:prstGeom prst="rect">
          <a:avLst/>
        </a:prstGeom>
      </xdr:spPr>
    </xdr:pic>
    <xdr:clientData/>
  </xdr:oneCellAnchor>
  <xdr:oneCellAnchor>
    <xdr:from>
      <xdr:col>3</xdr:col>
      <xdr:colOff>95250</xdr:colOff>
      <xdr:row>29</xdr:row>
      <xdr:rowOff>54429</xdr:rowOff>
    </xdr:from>
    <xdr:ext cx="5864636" cy="1600423"/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81250" y="5578929"/>
          <a:ext cx="5864636" cy="1600423"/>
        </a:xfrm>
        <a:prstGeom prst="rect">
          <a:avLst/>
        </a:prstGeom>
      </xdr:spPr>
    </xdr:pic>
    <xdr:clientData/>
  </xdr:oneCellAnchor>
  <xdr:oneCellAnchor>
    <xdr:from>
      <xdr:col>13</xdr:col>
      <xdr:colOff>163286</xdr:colOff>
      <xdr:row>52</xdr:row>
      <xdr:rowOff>54428</xdr:rowOff>
    </xdr:from>
    <xdr:ext cx="5315826" cy="2105319"/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069286" y="9960428"/>
          <a:ext cx="5315826" cy="2105319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276225</xdr:rowOff>
        </xdr:from>
        <xdr:to>
          <xdr:col>6</xdr:col>
          <xdr:colOff>76200</xdr:colOff>
          <xdr:row>5</xdr:row>
          <xdr:rowOff>161925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406854</xdr:colOff>
      <xdr:row>80</xdr:row>
      <xdr:rowOff>68035</xdr:rowOff>
    </xdr:from>
    <xdr:ext cx="7544357" cy="4803321"/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68854" y="15308035"/>
          <a:ext cx="7544357" cy="4803321"/>
        </a:xfrm>
        <a:prstGeom prst="rect">
          <a:avLst/>
        </a:prstGeom>
      </xdr:spPr>
    </xdr:pic>
    <xdr:clientData/>
  </xdr:oneCellAnchor>
  <xdr:oneCellAnchor>
    <xdr:from>
      <xdr:col>12</xdr:col>
      <xdr:colOff>987754</xdr:colOff>
      <xdr:row>78</xdr:row>
      <xdr:rowOff>387184</xdr:rowOff>
    </xdr:from>
    <xdr:ext cx="8485291" cy="5076354"/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903154" y="15046159"/>
          <a:ext cx="8485291" cy="507635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6</xdr:row>
          <xdr:rowOff>95250</xdr:rowOff>
        </xdr:from>
        <xdr:to>
          <xdr:col>6</xdr:col>
          <xdr:colOff>76200</xdr:colOff>
          <xdr:row>11</xdr:row>
          <xdr:rowOff>66675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977240</xdr:colOff>
      <xdr:row>125</xdr:row>
      <xdr:rowOff>384712</xdr:rowOff>
    </xdr:from>
    <xdr:ext cx="4529652" cy="1912501"/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330165" y="24006712"/>
          <a:ext cx="4529652" cy="191250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150</xdr:row>
          <xdr:rowOff>28575</xdr:rowOff>
        </xdr:from>
        <xdr:to>
          <xdr:col>5</xdr:col>
          <xdr:colOff>38100</xdr:colOff>
          <xdr:row>150</xdr:row>
          <xdr:rowOff>571500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150</xdr:row>
          <xdr:rowOff>619125</xdr:rowOff>
        </xdr:from>
        <xdr:to>
          <xdr:col>5</xdr:col>
          <xdr:colOff>38100</xdr:colOff>
          <xdr:row>151</xdr:row>
          <xdr:rowOff>495300</xdr:rowOff>
        </xdr:to>
        <xdr:sp macro="" textlink="">
          <xdr:nvSpPr>
            <xdr:cNvPr id="9220" name="CommandButton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150</xdr:row>
          <xdr:rowOff>47625</xdr:rowOff>
        </xdr:from>
        <xdr:to>
          <xdr:col>5</xdr:col>
          <xdr:colOff>876300</xdr:colOff>
          <xdr:row>153</xdr:row>
          <xdr:rowOff>19050</xdr:rowOff>
        </xdr:to>
        <xdr:sp macro="" textlink="">
          <xdr:nvSpPr>
            <xdr:cNvPr id="9221" name="CommandButton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2266950</xdr:colOff>
          <xdr:row>1</xdr:row>
          <xdr:rowOff>47625</xdr:rowOff>
        </xdr:from>
        <xdr:to>
          <xdr:col>7</xdr:col>
          <xdr:colOff>1352550</xdr:colOff>
          <xdr:row>5</xdr:row>
          <xdr:rowOff>161925</xdr:rowOff>
        </xdr:to>
        <xdr:sp macro="" textlink="">
          <xdr:nvSpPr>
            <xdr:cNvPr id="9222" name="CommandButton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3</xdr:row>
          <xdr:rowOff>95250</xdr:rowOff>
        </xdr:from>
        <xdr:to>
          <xdr:col>6</xdr:col>
          <xdr:colOff>1971675</xdr:colOff>
          <xdr:row>8</xdr:row>
          <xdr:rowOff>114300</xdr:rowOff>
        </xdr:to>
        <xdr:sp macro="" textlink="">
          <xdr:nvSpPr>
            <xdr:cNvPr id="9223" name="CommandButton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108</xdr:row>
          <xdr:rowOff>28575</xdr:rowOff>
        </xdr:from>
        <xdr:to>
          <xdr:col>4</xdr:col>
          <xdr:colOff>0</xdr:colOff>
          <xdr:row>110</xdr:row>
          <xdr:rowOff>9525</xdr:rowOff>
        </xdr:to>
        <xdr:sp macro="" textlink="">
          <xdr:nvSpPr>
            <xdr:cNvPr id="9224" name="CommandButton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108</xdr:row>
          <xdr:rowOff>47625</xdr:rowOff>
        </xdr:from>
        <xdr:to>
          <xdr:col>14</xdr:col>
          <xdr:colOff>28575</xdr:colOff>
          <xdr:row>109</xdr:row>
          <xdr:rowOff>200025</xdr:rowOff>
        </xdr:to>
        <xdr:sp macro="" textlink="">
          <xdr:nvSpPr>
            <xdr:cNvPr id="9225" name="CommandButton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133</xdr:row>
          <xdr:rowOff>152400</xdr:rowOff>
        </xdr:from>
        <xdr:to>
          <xdr:col>5</xdr:col>
          <xdr:colOff>47625</xdr:colOff>
          <xdr:row>136</xdr:row>
          <xdr:rowOff>152400</xdr:rowOff>
        </xdr:to>
        <xdr:sp macro="" textlink="">
          <xdr:nvSpPr>
            <xdr:cNvPr id="9226" name="CommandButton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590983</xdr:colOff>
      <xdr:row>125</xdr:row>
      <xdr:rowOff>155895</xdr:rowOff>
    </xdr:from>
    <xdr:ext cx="14511190" cy="3058791"/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260108" y="30826395"/>
          <a:ext cx="14511190" cy="305879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149</xdr:row>
          <xdr:rowOff>1190625</xdr:rowOff>
        </xdr:from>
        <xdr:to>
          <xdr:col>16</xdr:col>
          <xdr:colOff>1362075</xdr:colOff>
          <xdr:row>151</xdr:row>
          <xdr:rowOff>85725</xdr:rowOff>
        </xdr:to>
        <xdr:sp macro="" textlink="">
          <xdr:nvSpPr>
            <xdr:cNvPr id="9227" name="CommandButton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1476375</xdr:colOff>
          <xdr:row>149</xdr:row>
          <xdr:rowOff>1228725</xdr:rowOff>
        </xdr:from>
        <xdr:to>
          <xdr:col>17</xdr:col>
          <xdr:colOff>323850</xdr:colOff>
          <xdr:row>153</xdr:row>
          <xdr:rowOff>733425</xdr:rowOff>
        </xdr:to>
        <xdr:sp macro="" textlink="">
          <xdr:nvSpPr>
            <xdr:cNvPr id="9228" name="CommandButton13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129</xdr:row>
          <xdr:rowOff>66675</xdr:rowOff>
        </xdr:from>
        <xdr:to>
          <xdr:col>16</xdr:col>
          <xdr:colOff>3009900</xdr:colOff>
          <xdr:row>129</xdr:row>
          <xdr:rowOff>485775</xdr:rowOff>
        </xdr:to>
        <xdr:sp macro="" textlink="">
          <xdr:nvSpPr>
            <xdr:cNvPr id="9229" name="CommandButton14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2247900</xdr:colOff>
          <xdr:row>6</xdr:row>
          <xdr:rowOff>171450</xdr:rowOff>
        </xdr:from>
        <xdr:to>
          <xdr:col>7</xdr:col>
          <xdr:colOff>1333500</xdr:colOff>
          <xdr:row>11</xdr:row>
          <xdr:rowOff>114300</xdr:rowOff>
        </xdr:to>
        <xdr:sp macro="" textlink="">
          <xdr:nvSpPr>
            <xdr:cNvPr id="9230" name="CommandButton15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152</xdr:row>
          <xdr:rowOff>47625</xdr:rowOff>
        </xdr:from>
        <xdr:to>
          <xdr:col>5</xdr:col>
          <xdr:colOff>38100</xdr:colOff>
          <xdr:row>153</xdr:row>
          <xdr:rowOff>19050</xdr:rowOff>
        </xdr:to>
        <xdr:sp macro="" textlink="">
          <xdr:nvSpPr>
            <xdr:cNvPr id="9231" name="CommandButton16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152</xdr:row>
          <xdr:rowOff>457200</xdr:rowOff>
        </xdr:from>
        <xdr:to>
          <xdr:col>16</xdr:col>
          <xdr:colOff>1362075</xdr:colOff>
          <xdr:row>153</xdr:row>
          <xdr:rowOff>762000</xdr:rowOff>
        </xdr:to>
        <xdr:sp macro="" textlink="">
          <xdr:nvSpPr>
            <xdr:cNvPr id="9232" name="CommandButton17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174</xdr:row>
          <xdr:rowOff>9525</xdr:rowOff>
        </xdr:from>
        <xdr:to>
          <xdr:col>17</xdr:col>
          <xdr:colOff>19050</xdr:colOff>
          <xdr:row>175</xdr:row>
          <xdr:rowOff>238125</xdr:rowOff>
        </xdr:to>
        <xdr:sp macro="" textlink="">
          <xdr:nvSpPr>
            <xdr:cNvPr id="9233" name="CommandButton18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175</xdr:row>
          <xdr:rowOff>314325</xdr:rowOff>
        </xdr:from>
        <xdr:to>
          <xdr:col>16</xdr:col>
          <xdr:colOff>3067050</xdr:colOff>
          <xdr:row>176</xdr:row>
          <xdr:rowOff>619125</xdr:rowOff>
        </xdr:to>
        <xdr:sp macro="" textlink="">
          <xdr:nvSpPr>
            <xdr:cNvPr id="9234" name="CommandButton19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176</xdr:row>
          <xdr:rowOff>685800</xdr:rowOff>
        </xdr:from>
        <xdr:to>
          <xdr:col>17</xdr:col>
          <xdr:colOff>0</xdr:colOff>
          <xdr:row>179</xdr:row>
          <xdr:rowOff>161925</xdr:rowOff>
        </xdr:to>
        <xdr:sp macro="" textlink="">
          <xdr:nvSpPr>
            <xdr:cNvPr id="9235" name="CommandButton20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173</xdr:row>
          <xdr:rowOff>1009650</xdr:rowOff>
        </xdr:from>
        <xdr:to>
          <xdr:col>18</xdr:col>
          <xdr:colOff>247650</xdr:colOff>
          <xdr:row>179</xdr:row>
          <xdr:rowOff>209550</xdr:rowOff>
        </xdr:to>
        <xdr:sp macro="" textlink="">
          <xdr:nvSpPr>
            <xdr:cNvPr id="9236" name="CommandButton21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151</xdr:row>
          <xdr:rowOff>152400</xdr:rowOff>
        </xdr:from>
        <xdr:to>
          <xdr:col>16</xdr:col>
          <xdr:colOff>1333500</xdr:colOff>
          <xdr:row>152</xdr:row>
          <xdr:rowOff>381000</xdr:rowOff>
        </xdr:to>
        <xdr:sp macro="" textlink="">
          <xdr:nvSpPr>
            <xdr:cNvPr id="9237" name="CommandButton12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866775</xdr:colOff>
          <xdr:row>159</xdr:row>
          <xdr:rowOff>19050</xdr:rowOff>
        </xdr:from>
        <xdr:to>
          <xdr:col>16</xdr:col>
          <xdr:colOff>2162175</xdr:colOff>
          <xdr:row>160</xdr:row>
          <xdr:rowOff>47625</xdr:rowOff>
        </xdr:to>
        <xdr:sp macro="" textlink="">
          <xdr:nvSpPr>
            <xdr:cNvPr id="9238" name="CommandButton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1412669</xdr:colOff>
      <xdr:row>143</xdr:row>
      <xdr:rowOff>17317</xdr:rowOff>
    </xdr:from>
    <xdr:to>
      <xdr:col>13</xdr:col>
      <xdr:colOff>536863</xdr:colOff>
      <xdr:row>144</xdr:row>
      <xdr:rowOff>244927</xdr:rowOff>
    </xdr:to>
    <xdr:cxnSp macro="">
      <xdr:nvCxnSpPr>
        <xdr:cNvPr id="34" name="Conector recto de flecha 33"/>
        <xdr:cNvCxnSpPr/>
      </xdr:nvCxnSpPr>
      <xdr:spPr>
        <a:xfrm flipH="1">
          <a:off x="9908969" y="27258817"/>
          <a:ext cx="533894" cy="3609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24</xdr:col>
      <xdr:colOff>103908</xdr:colOff>
      <xdr:row>15</xdr:row>
      <xdr:rowOff>93251</xdr:rowOff>
    </xdr:from>
    <xdr:ext cx="12145887" cy="8169686"/>
    <xdr:pic>
      <xdr:nvPicPr>
        <xdr:cNvPr id="35" name="Imagen 34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391908" y="2950751"/>
          <a:ext cx="12145887" cy="816968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134</xdr:row>
          <xdr:rowOff>0</xdr:rowOff>
        </xdr:from>
        <xdr:to>
          <xdr:col>16</xdr:col>
          <xdr:colOff>1000125</xdr:colOff>
          <xdr:row>136</xdr:row>
          <xdr:rowOff>161925</xdr:rowOff>
        </xdr:to>
        <xdr:sp macro="" textlink="">
          <xdr:nvSpPr>
            <xdr:cNvPr id="9239" name="CommandButton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1171575</xdr:colOff>
          <xdr:row>133</xdr:row>
          <xdr:rowOff>161925</xdr:rowOff>
        </xdr:from>
        <xdr:to>
          <xdr:col>17</xdr:col>
          <xdr:colOff>28575</xdr:colOff>
          <xdr:row>136</xdr:row>
          <xdr:rowOff>133350</xdr:rowOff>
        </xdr:to>
        <xdr:sp macro="" textlink="">
          <xdr:nvSpPr>
            <xdr:cNvPr id="9240" name="CommandButton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137</xdr:row>
          <xdr:rowOff>66675</xdr:rowOff>
        </xdr:from>
        <xdr:to>
          <xdr:col>16</xdr:col>
          <xdr:colOff>990600</xdr:colOff>
          <xdr:row>138</xdr:row>
          <xdr:rowOff>342900</xdr:rowOff>
        </xdr:to>
        <xdr:sp macro="" textlink="">
          <xdr:nvSpPr>
            <xdr:cNvPr id="9241" name="CommandButton25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1181100</xdr:colOff>
          <xdr:row>137</xdr:row>
          <xdr:rowOff>66675</xdr:rowOff>
        </xdr:from>
        <xdr:to>
          <xdr:col>17</xdr:col>
          <xdr:colOff>9525</xdr:colOff>
          <xdr:row>138</xdr:row>
          <xdr:rowOff>352425</xdr:rowOff>
        </xdr:to>
        <xdr:sp macro="" textlink="">
          <xdr:nvSpPr>
            <xdr:cNvPr id="9242" name="CommandButton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162</xdr:row>
          <xdr:rowOff>28575</xdr:rowOff>
        </xdr:from>
        <xdr:to>
          <xdr:col>16</xdr:col>
          <xdr:colOff>981075</xdr:colOff>
          <xdr:row>163</xdr:row>
          <xdr:rowOff>409575</xdr:rowOff>
        </xdr:to>
        <xdr:sp macro="" textlink="">
          <xdr:nvSpPr>
            <xdr:cNvPr id="9243" name="CommandButton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164</xdr:row>
          <xdr:rowOff>85725</xdr:rowOff>
        </xdr:from>
        <xdr:to>
          <xdr:col>16</xdr:col>
          <xdr:colOff>981075</xdr:colOff>
          <xdr:row>167</xdr:row>
          <xdr:rowOff>152400</xdr:rowOff>
        </xdr:to>
        <xdr:sp macro="" textlink="">
          <xdr:nvSpPr>
            <xdr:cNvPr id="9244" name="CommandButton28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1104900</xdr:colOff>
          <xdr:row>162</xdr:row>
          <xdr:rowOff>38100</xdr:rowOff>
        </xdr:from>
        <xdr:to>
          <xdr:col>16</xdr:col>
          <xdr:colOff>3028950</xdr:colOff>
          <xdr:row>163</xdr:row>
          <xdr:rowOff>371475</xdr:rowOff>
        </xdr:to>
        <xdr:sp macro="" textlink="">
          <xdr:nvSpPr>
            <xdr:cNvPr id="9245" name="CommandButton29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1057275</xdr:colOff>
          <xdr:row>164</xdr:row>
          <xdr:rowOff>47625</xdr:rowOff>
        </xdr:from>
        <xdr:to>
          <xdr:col>16</xdr:col>
          <xdr:colOff>3048000</xdr:colOff>
          <xdr:row>167</xdr:row>
          <xdr:rowOff>190500</xdr:rowOff>
        </xdr:to>
        <xdr:sp macro="" textlink="">
          <xdr:nvSpPr>
            <xdr:cNvPr id="9246" name="CommandButton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66675</xdr:rowOff>
        </xdr:from>
        <xdr:to>
          <xdr:col>12</xdr:col>
          <xdr:colOff>1162050</xdr:colOff>
          <xdr:row>4</xdr:row>
          <xdr:rowOff>95250</xdr:rowOff>
        </xdr:to>
        <xdr:sp macro="" textlink="">
          <xdr:nvSpPr>
            <xdr:cNvPr id="9247" name="CommandButton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428625</xdr:colOff>
          <xdr:row>9</xdr:row>
          <xdr:rowOff>209550</xdr:rowOff>
        </xdr:from>
        <xdr:to>
          <xdr:col>35</xdr:col>
          <xdr:colOff>714375</xdr:colOff>
          <xdr:row>18</xdr:row>
          <xdr:rowOff>0</xdr:rowOff>
        </xdr:to>
        <xdr:sp macro="" textlink="">
          <xdr:nvSpPr>
            <xdr:cNvPr id="9248" name="CommandButton32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117</xdr:row>
          <xdr:rowOff>600075</xdr:rowOff>
        </xdr:from>
        <xdr:to>
          <xdr:col>14</xdr:col>
          <xdr:colOff>733425</xdr:colOff>
          <xdr:row>120</xdr:row>
          <xdr:rowOff>38100</xdr:rowOff>
        </xdr:to>
        <xdr:sp macro="" textlink="">
          <xdr:nvSpPr>
            <xdr:cNvPr id="9249" name="CommandButton33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118</xdr:row>
          <xdr:rowOff>247650</xdr:rowOff>
        </xdr:from>
        <xdr:to>
          <xdr:col>4</xdr:col>
          <xdr:colOff>323850</xdr:colOff>
          <xdr:row>122</xdr:row>
          <xdr:rowOff>57150</xdr:rowOff>
        </xdr:to>
        <xdr:sp macro="" textlink="">
          <xdr:nvSpPr>
            <xdr:cNvPr id="9250" name="CommandButton34" hidden="1">
              <a:extLst>
                <a:ext uri="{63B3BB69-23CF-44E3-9099-C40C66FF867C}">
                  <a14:compatExt spid="_x0000_s9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155</xdr:row>
          <xdr:rowOff>180975</xdr:rowOff>
        </xdr:from>
        <xdr:to>
          <xdr:col>5</xdr:col>
          <xdr:colOff>314325</xdr:colOff>
          <xdr:row>158</xdr:row>
          <xdr:rowOff>390525</xdr:rowOff>
        </xdr:to>
        <xdr:sp macro="" textlink="">
          <xdr:nvSpPr>
            <xdr:cNvPr id="9251" name="CommandButton35" hidden="1">
              <a:extLst>
                <a:ext uri="{63B3BB69-23CF-44E3-9099-C40C66FF867C}">
                  <a14:compatExt spid="_x0000_s9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153</xdr:row>
          <xdr:rowOff>1209675</xdr:rowOff>
        </xdr:from>
        <xdr:to>
          <xdr:col>14</xdr:col>
          <xdr:colOff>847725</xdr:colOff>
          <xdr:row>156</xdr:row>
          <xdr:rowOff>504825</xdr:rowOff>
        </xdr:to>
        <xdr:sp macro="" textlink="">
          <xdr:nvSpPr>
            <xdr:cNvPr id="9252" name="CommandButton36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466725</xdr:colOff>
          <xdr:row>180</xdr:row>
          <xdr:rowOff>28575</xdr:rowOff>
        </xdr:from>
        <xdr:to>
          <xdr:col>14</xdr:col>
          <xdr:colOff>1095375</xdr:colOff>
          <xdr:row>187</xdr:row>
          <xdr:rowOff>114300</xdr:rowOff>
        </xdr:to>
        <xdr:sp macro="" textlink="">
          <xdr:nvSpPr>
            <xdr:cNvPr id="9253" name="CommandButton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141</xdr:row>
          <xdr:rowOff>0</xdr:rowOff>
        </xdr:from>
        <xdr:to>
          <xdr:col>3</xdr:col>
          <xdr:colOff>628650</xdr:colOff>
          <xdr:row>141</xdr:row>
          <xdr:rowOff>933450</xdr:rowOff>
        </xdr:to>
        <xdr:sp macro="" textlink="">
          <xdr:nvSpPr>
            <xdr:cNvPr id="9254" name="CommandButton38" hidden="1">
              <a:extLst>
                <a:ext uri="{63B3BB69-23CF-44E3-9099-C40C66FF867C}">
                  <a14:compatExt spid="_x0000_s9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141</xdr:row>
          <xdr:rowOff>0</xdr:rowOff>
        </xdr:from>
        <xdr:to>
          <xdr:col>5</xdr:col>
          <xdr:colOff>85725</xdr:colOff>
          <xdr:row>141</xdr:row>
          <xdr:rowOff>933450</xdr:rowOff>
        </xdr:to>
        <xdr:sp macro="" textlink="">
          <xdr:nvSpPr>
            <xdr:cNvPr id="9255" name="CommandButton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142</xdr:row>
          <xdr:rowOff>19050</xdr:rowOff>
        </xdr:from>
        <xdr:to>
          <xdr:col>3</xdr:col>
          <xdr:colOff>628650</xdr:colOff>
          <xdr:row>143</xdr:row>
          <xdr:rowOff>600075</xdr:rowOff>
        </xdr:to>
        <xdr:sp macro="" textlink="">
          <xdr:nvSpPr>
            <xdr:cNvPr id="9256" name="CommandButton40" hidden="1">
              <a:extLst>
                <a:ext uri="{63B3BB69-23CF-44E3-9099-C40C66FF867C}">
                  <a14:compatExt spid="_x0000_s9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142</xdr:row>
          <xdr:rowOff>19050</xdr:rowOff>
        </xdr:from>
        <xdr:to>
          <xdr:col>5</xdr:col>
          <xdr:colOff>66675</xdr:colOff>
          <xdr:row>143</xdr:row>
          <xdr:rowOff>600075</xdr:rowOff>
        </xdr:to>
        <xdr:sp macro="" textlink="">
          <xdr:nvSpPr>
            <xdr:cNvPr id="9257" name="CommandButton41" hidden="1">
              <a:extLst>
                <a:ext uri="{63B3BB69-23CF-44E3-9099-C40C66FF867C}">
                  <a14:compatExt spid="_x0000_s9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761998</xdr:colOff>
      <xdr:row>166</xdr:row>
      <xdr:rowOff>97643</xdr:rowOff>
    </xdr:from>
    <xdr:ext cx="9501189" cy="1659596"/>
    <xdr:pic>
      <xdr:nvPicPr>
        <xdr:cNvPr id="55" name="Imagen 5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15998" y="31720643"/>
          <a:ext cx="9501189" cy="1659596"/>
        </a:xfrm>
        <a:prstGeom prst="rect">
          <a:avLst/>
        </a:prstGeom>
      </xdr:spPr>
    </xdr:pic>
    <xdr:clientData/>
  </xdr:oneCellAnchor>
  <xdr:oneCellAnchor>
    <xdr:from>
      <xdr:col>18</xdr:col>
      <xdr:colOff>1428750</xdr:colOff>
      <xdr:row>170</xdr:row>
      <xdr:rowOff>214312</xdr:rowOff>
    </xdr:from>
    <xdr:ext cx="5814586" cy="1881187"/>
    <xdr:pic>
      <xdr:nvPicPr>
        <xdr:cNvPr id="56" name="Imagen 5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478000" y="32580262"/>
          <a:ext cx="5814586" cy="1881187"/>
        </a:xfrm>
        <a:prstGeom prst="rect">
          <a:avLst/>
        </a:prstGeom>
      </xdr:spPr>
    </xdr:pic>
    <xdr:clientData/>
  </xdr:oneCellAnchor>
  <xdr:twoCellAnchor>
    <xdr:from>
      <xdr:col>7</xdr:col>
      <xdr:colOff>71437</xdr:colOff>
      <xdr:row>119</xdr:row>
      <xdr:rowOff>357187</xdr:rowOff>
    </xdr:from>
    <xdr:to>
      <xdr:col>7</xdr:col>
      <xdr:colOff>714374</xdr:colOff>
      <xdr:row>119</xdr:row>
      <xdr:rowOff>357187</xdr:rowOff>
    </xdr:to>
    <xdr:cxnSp macro="">
      <xdr:nvCxnSpPr>
        <xdr:cNvPr id="57" name="Conector recto de flecha 56"/>
        <xdr:cNvCxnSpPr/>
      </xdr:nvCxnSpPr>
      <xdr:spPr>
        <a:xfrm>
          <a:off x="5405437" y="22864762"/>
          <a:ext cx="64293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119062</xdr:colOff>
      <xdr:row>13</xdr:row>
      <xdr:rowOff>71438</xdr:rowOff>
    </xdr:from>
    <xdr:to>
      <xdr:col>58</xdr:col>
      <xdr:colOff>104775</xdr:colOff>
      <xdr:row>73</xdr:row>
      <xdr:rowOff>58832</xdr:rowOff>
    </xdr:to>
    <xdr:pic>
      <xdr:nvPicPr>
        <xdr:cNvPr id="58" name="Imagen 57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6258162" y="3500438"/>
          <a:ext cx="12939713" cy="11417394"/>
        </a:xfrm>
        <a:prstGeom prst="rect">
          <a:avLst/>
        </a:prstGeom>
      </xdr:spPr>
    </xdr:pic>
    <xdr:clientData/>
  </xdr:twoCellAnchor>
  <xdr:twoCellAnchor editAs="oneCell">
    <xdr:from>
      <xdr:col>60</xdr:col>
      <xdr:colOff>285751</xdr:colOff>
      <xdr:row>14</xdr:row>
      <xdr:rowOff>166688</xdr:rowOff>
    </xdr:from>
    <xdr:to>
      <xdr:col>76</xdr:col>
      <xdr:colOff>333375</xdr:colOff>
      <xdr:row>49</xdr:row>
      <xdr:rowOff>157144</xdr:rowOff>
    </xdr:to>
    <xdr:pic>
      <xdr:nvPicPr>
        <xdr:cNvPr id="59" name="Imagen 58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7602439" y="3429001"/>
          <a:ext cx="12239624" cy="6800831"/>
        </a:xfrm>
        <a:prstGeom prst="rect">
          <a:avLst/>
        </a:prstGeom>
      </xdr:spPr>
    </xdr:pic>
    <xdr:clientData/>
  </xdr:twoCellAnchor>
  <xdr:twoCellAnchor editAs="oneCell">
    <xdr:from>
      <xdr:col>60</xdr:col>
      <xdr:colOff>380999</xdr:colOff>
      <xdr:row>48</xdr:row>
      <xdr:rowOff>142875</xdr:rowOff>
    </xdr:from>
    <xdr:to>
      <xdr:col>74</xdr:col>
      <xdr:colOff>738186</xdr:colOff>
      <xdr:row>88</xdr:row>
      <xdr:rowOff>153854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98099" y="10382250"/>
          <a:ext cx="11025187" cy="78405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</xdr:row>
          <xdr:rowOff>238125</xdr:rowOff>
        </xdr:from>
        <xdr:to>
          <xdr:col>12</xdr:col>
          <xdr:colOff>1152525</xdr:colOff>
          <xdr:row>7</xdr:row>
          <xdr:rowOff>190500</xdr:rowOff>
        </xdr:to>
        <xdr:sp macro="" textlink="">
          <xdr:nvSpPr>
            <xdr:cNvPr id="9259" name="CommandButton43" hidden="1">
              <a:extLst>
                <a:ext uri="{63B3BB69-23CF-44E3-9099-C40C66FF867C}">
                  <a14:compatExt spid="_x0000_s9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8</xdr:row>
          <xdr:rowOff>142875</xdr:rowOff>
        </xdr:from>
        <xdr:to>
          <xdr:col>13</xdr:col>
          <xdr:colOff>542925</xdr:colOff>
          <xdr:row>11</xdr:row>
          <xdr:rowOff>161925</xdr:rowOff>
        </xdr:to>
        <xdr:sp macro="" textlink="">
          <xdr:nvSpPr>
            <xdr:cNvPr id="9260" name="CommandButton44" hidden="1">
              <a:extLst>
                <a:ext uri="{63B3BB69-23CF-44E3-9099-C40C66FF867C}">
                  <a14:compatExt spid="_x0000_s9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504825</xdr:colOff>
          <xdr:row>11</xdr:row>
          <xdr:rowOff>19050</xdr:rowOff>
        </xdr:from>
        <xdr:to>
          <xdr:col>56</xdr:col>
          <xdr:colOff>19050</xdr:colOff>
          <xdr:row>19</xdr:row>
          <xdr:rowOff>66675</xdr:rowOff>
        </xdr:to>
        <xdr:sp macro="" textlink="">
          <xdr:nvSpPr>
            <xdr:cNvPr id="9261" name="CommandButton42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666750</xdr:colOff>
          <xdr:row>11</xdr:row>
          <xdr:rowOff>19050</xdr:rowOff>
        </xdr:from>
        <xdr:to>
          <xdr:col>77</xdr:col>
          <xdr:colOff>190500</xdr:colOff>
          <xdr:row>19</xdr:row>
          <xdr:rowOff>66675</xdr:rowOff>
        </xdr:to>
        <xdr:sp macro="" textlink="">
          <xdr:nvSpPr>
            <xdr:cNvPr id="9262" name="CommandButton45" hidden="1">
              <a:extLst>
                <a:ext uri="{63B3BB69-23CF-44E3-9099-C40C66FF867C}">
                  <a14:compatExt spid="_x0000_s9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24</xdr:col>
      <xdr:colOff>523875</xdr:colOff>
      <xdr:row>158</xdr:row>
      <xdr:rowOff>357189</xdr:rowOff>
    </xdr:from>
    <xdr:to>
      <xdr:col>40</xdr:col>
      <xdr:colOff>71436</xdr:colOff>
      <xdr:row>173</xdr:row>
      <xdr:rowOff>56345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0408563" y="49458564"/>
          <a:ext cx="11739561" cy="7962094"/>
        </a:xfrm>
        <a:prstGeom prst="rect">
          <a:avLst/>
        </a:prstGeom>
      </xdr:spPr>
    </xdr:pic>
    <xdr:clientData/>
  </xdr:twoCellAnchor>
  <xdr:twoCellAnchor editAs="oneCell">
    <xdr:from>
      <xdr:col>41</xdr:col>
      <xdr:colOff>523874</xdr:colOff>
      <xdr:row>76</xdr:row>
      <xdr:rowOff>26135</xdr:rowOff>
    </xdr:from>
    <xdr:to>
      <xdr:col>57</xdr:col>
      <xdr:colOff>453241</xdr:colOff>
      <xdr:row>89</xdr:row>
      <xdr:rowOff>100196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3362562" y="15385198"/>
          <a:ext cx="12121367" cy="27648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emf"/><Relationship Id="rId21" Type="http://schemas.openxmlformats.org/officeDocument/2006/relationships/control" Target="../activeX/activeX11.xml"/><Relationship Id="rId42" Type="http://schemas.openxmlformats.org/officeDocument/2006/relationships/image" Target="../media/image21.emf"/><Relationship Id="rId47" Type="http://schemas.openxmlformats.org/officeDocument/2006/relationships/control" Target="../activeX/activeX24.xml"/><Relationship Id="rId63" Type="http://schemas.openxmlformats.org/officeDocument/2006/relationships/control" Target="../activeX/activeX32.xml"/><Relationship Id="rId68" Type="http://schemas.openxmlformats.org/officeDocument/2006/relationships/image" Target="../media/image34.emf"/><Relationship Id="rId84" Type="http://schemas.openxmlformats.org/officeDocument/2006/relationships/image" Target="../media/image42.emf"/><Relationship Id="rId89" Type="http://schemas.openxmlformats.org/officeDocument/2006/relationships/control" Target="../activeX/activeX45.xml"/><Relationship Id="rId16" Type="http://schemas.openxmlformats.org/officeDocument/2006/relationships/image" Target="../media/image8.emf"/><Relationship Id="rId11" Type="http://schemas.openxmlformats.org/officeDocument/2006/relationships/control" Target="../activeX/activeX6.xml"/><Relationship Id="rId32" Type="http://schemas.openxmlformats.org/officeDocument/2006/relationships/image" Target="../media/image16.emf"/><Relationship Id="rId37" Type="http://schemas.openxmlformats.org/officeDocument/2006/relationships/control" Target="../activeX/activeX19.xml"/><Relationship Id="rId53" Type="http://schemas.openxmlformats.org/officeDocument/2006/relationships/control" Target="../activeX/activeX27.xml"/><Relationship Id="rId58" Type="http://schemas.openxmlformats.org/officeDocument/2006/relationships/image" Target="../media/image29.emf"/><Relationship Id="rId74" Type="http://schemas.openxmlformats.org/officeDocument/2006/relationships/image" Target="../media/image37.emf"/><Relationship Id="rId79" Type="http://schemas.openxmlformats.org/officeDocument/2006/relationships/control" Target="../activeX/activeX40.xml"/><Relationship Id="rId5" Type="http://schemas.openxmlformats.org/officeDocument/2006/relationships/control" Target="../activeX/activeX3.xml"/><Relationship Id="rId90" Type="http://schemas.openxmlformats.org/officeDocument/2006/relationships/image" Target="../media/image45.emf"/><Relationship Id="rId22" Type="http://schemas.openxmlformats.org/officeDocument/2006/relationships/image" Target="../media/image11.emf"/><Relationship Id="rId27" Type="http://schemas.openxmlformats.org/officeDocument/2006/relationships/control" Target="../activeX/activeX14.xml"/><Relationship Id="rId43" Type="http://schemas.openxmlformats.org/officeDocument/2006/relationships/control" Target="../activeX/activeX22.xml"/><Relationship Id="rId48" Type="http://schemas.openxmlformats.org/officeDocument/2006/relationships/image" Target="../media/image24.emf"/><Relationship Id="rId64" Type="http://schemas.openxmlformats.org/officeDocument/2006/relationships/image" Target="../media/image32.emf"/><Relationship Id="rId69" Type="http://schemas.openxmlformats.org/officeDocument/2006/relationships/control" Target="../activeX/activeX35.xml"/><Relationship Id="rId8" Type="http://schemas.openxmlformats.org/officeDocument/2006/relationships/image" Target="../media/image4.emf"/><Relationship Id="rId51" Type="http://schemas.openxmlformats.org/officeDocument/2006/relationships/control" Target="../activeX/activeX26.xml"/><Relationship Id="rId72" Type="http://schemas.openxmlformats.org/officeDocument/2006/relationships/image" Target="../media/image36.emf"/><Relationship Id="rId80" Type="http://schemas.openxmlformats.org/officeDocument/2006/relationships/image" Target="../media/image40.emf"/><Relationship Id="rId85" Type="http://schemas.openxmlformats.org/officeDocument/2006/relationships/control" Target="../activeX/activeX43.xml"/><Relationship Id="rId93" Type="http://schemas.openxmlformats.org/officeDocument/2006/relationships/control" Target="../activeX/activeX47.xml"/><Relationship Id="rId3" Type="http://schemas.openxmlformats.org/officeDocument/2006/relationships/drawing" Target="../drawings/drawing7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3.xml"/><Relationship Id="rId33" Type="http://schemas.openxmlformats.org/officeDocument/2006/relationships/control" Target="../activeX/activeX17.xml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59" Type="http://schemas.openxmlformats.org/officeDocument/2006/relationships/control" Target="../activeX/activeX30.xml"/><Relationship Id="rId67" Type="http://schemas.openxmlformats.org/officeDocument/2006/relationships/control" Target="../activeX/activeX34.xml"/><Relationship Id="rId20" Type="http://schemas.openxmlformats.org/officeDocument/2006/relationships/image" Target="../media/image10.emf"/><Relationship Id="rId41" Type="http://schemas.openxmlformats.org/officeDocument/2006/relationships/control" Target="../activeX/activeX21.xml"/><Relationship Id="rId54" Type="http://schemas.openxmlformats.org/officeDocument/2006/relationships/image" Target="../media/image27.emf"/><Relationship Id="rId62" Type="http://schemas.openxmlformats.org/officeDocument/2006/relationships/image" Target="../media/image31.emf"/><Relationship Id="rId70" Type="http://schemas.openxmlformats.org/officeDocument/2006/relationships/image" Target="../media/image35.emf"/><Relationship Id="rId75" Type="http://schemas.openxmlformats.org/officeDocument/2006/relationships/control" Target="../activeX/activeX38.xml"/><Relationship Id="rId83" Type="http://schemas.openxmlformats.org/officeDocument/2006/relationships/control" Target="../activeX/activeX42.xml"/><Relationship Id="rId88" Type="http://schemas.openxmlformats.org/officeDocument/2006/relationships/image" Target="../media/image44.emf"/><Relationship Id="rId91" Type="http://schemas.openxmlformats.org/officeDocument/2006/relationships/control" Target="../activeX/activeX46.xml"/><Relationship Id="rId1" Type="http://schemas.openxmlformats.org/officeDocument/2006/relationships/printerSettings" Target="../printerSettings/printerSettings13.bin"/><Relationship Id="rId6" Type="http://schemas.openxmlformats.org/officeDocument/2006/relationships/image" Target="../media/image3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2.xml"/><Relationship Id="rId28" Type="http://schemas.openxmlformats.org/officeDocument/2006/relationships/image" Target="../media/image14.emf"/><Relationship Id="rId36" Type="http://schemas.openxmlformats.org/officeDocument/2006/relationships/image" Target="../media/image18.emf"/><Relationship Id="rId49" Type="http://schemas.openxmlformats.org/officeDocument/2006/relationships/control" Target="../activeX/activeX25.xml"/><Relationship Id="rId57" Type="http://schemas.openxmlformats.org/officeDocument/2006/relationships/control" Target="../activeX/activeX29.xml"/><Relationship Id="rId10" Type="http://schemas.openxmlformats.org/officeDocument/2006/relationships/image" Target="../media/image5.emf"/><Relationship Id="rId31" Type="http://schemas.openxmlformats.org/officeDocument/2006/relationships/control" Target="../activeX/activeX16.xml"/><Relationship Id="rId44" Type="http://schemas.openxmlformats.org/officeDocument/2006/relationships/image" Target="../media/image22.emf"/><Relationship Id="rId52" Type="http://schemas.openxmlformats.org/officeDocument/2006/relationships/image" Target="../media/image26.emf"/><Relationship Id="rId60" Type="http://schemas.openxmlformats.org/officeDocument/2006/relationships/image" Target="../media/image30.emf"/><Relationship Id="rId65" Type="http://schemas.openxmlformats.org/officeDocument/2006/relationships/control" Target="../activeX/activeX33.xml"/><Relationship Id="rId73" Type="http://schemas.openxmlformats.org/officeDocument/2006/relationships/control" Target="../activeX/activeX37.xml"/><Relationship Id="rId78" Type="http://schemas.openxmlformats.org/officeDocument/2006/relationships/image" Target="../media/image39.emf"/><Relationship Id="rId81" Type="http://schemas.openxmlformats.org/officeDocument/2006/relationships/control" Target="../activeX/activeX41.xml"/><Relationship Id="rId86" Type="http://schemas.openxmlformats.org/officeDocument/2006/relationships/image" Target="../media/image43.emf"/><Relationship Id="rId94" Type="http://schemas.openxmlformats.org/officeDocument/2006/relationships/image" Target="../media/image4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39" Type="http://schemas.openxmlformats.org/officeDocument/2006/relationships/control" Target="../activeX/activeX20.xml"/><Relationship Id="rId34" Type="http://schemas.openxmlformats.org/officeDocument/2006/relationships/image" Target="../media/image17.emf"/><Relationship Id="rId50" Type="http://schemas.openxmlformats.org/officeDocument/2006/relationships/image" Target="../media/image25.emf"/><Relationship Id="rId55" Type="http://schemas.openxmlformats.org/officeDocument/2006/relationships/control" Target="../activeX/activeX28.xml"/><Relationship Id="rId76" Type="http://schemas.openxmlformats.org/officeDocument/2006/relationships/image" Target="../media/image38.emf"/><Relationship Id="rId7" Type="http://schemas.openxmlformats.org/officeDocument/2006/relationships/control" Target="../activeX/activeX4.xml"/><Relationship Id="rId71" Type="http://schemas.openxmlformats.org/officeDocument/2006/relationships/control" Target="../activeX/activeX36.xml"/><Relationship Id="rId92" Type="http://schemas.openxmlformats.org/officeDocument/2006/relationships/image" Target="../media/image46.emf"/><Relationship Id="rId2" Type="http://schemas.openxmlformats.org/officeDocument/2006/relationships/printerSettings" Target="../printerSettings/printerSettings14.bin"/><Relationship Id="rId29" Type="http://schemas.openxmlformats.org/officeDocument/2006/relationships/control" Target="../activeX/activeX15.xml"/><Relationship Id="rId24" Type="http://schemas.openxmlformats.org/officeDocument/2006/relationships/image" Target="../media/image12.emf"/><Relationship Id="rId40" Type="http://schemas.openxmlformats.org/officeDocument/2006/relationships/image" Target="../media/image20.emf"/><Relationship Id="rId45" Type="http://schemas.openxmlformats.org/officeDocument/2006/relationships/control" Target="../activeX/activeX23.xml"/><Relationship Id="rId66" Type="http://schemas.openxmlformats.org/officeDocument/2006/relationships/image" Target="../media/image33.emf"/><Relationship Id="rId87" Type="http://schemas.openxmlformats.org/officeDocument/2006/relationships/control" Target="../activeX/activeX44.xml"/><Relationship Id="rId61" Type="http://schemas.openxmlformats.org/officeDocument/2006/relationships/control" Target="../activeX/activeX31.xml"/><Relationship Id="rId82" Type="http://schemas.openxmlformats.org/officeDocument/2006/relationships/image" Target="../media/image41.emf"/><Relationship Id="rId19" Type="http://schemas.openxmlformats.org/officeDocument/2006/relationships/control" Target="../activeX/activeX10.xml"/><Relationship Id="rId14" Type="http://schemas.openxmlformats.org/officeDocument/2006/relationships/image" Target="../media/image7.emf"/><Relationship Id="rId30" Type="http://schemas.openxmlformats.org/officeDocument/2006/relationships/image" Target="../media/image15.emf"/><Relationship Id="rId35" Type="http://schemas.openxmlformats.org/officeDocument/2006/relationships/control" Target="../activeX/activeX18.xml"/><Relationship Id="rId56" Type="http://schemas.openxmlformats.org/officeDocument/2006/relationships/image" Target="../media/image28.emf"/><Relationship Id="rId77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9"/>
  <sheetViews>
    <sheetView showGridLines="0" zoomScale="70" zoomScaleNormal="70" workbookViewId="0">
      <selection activeCell="F8" sqref="F8"/>
    </sheetView>
  </sheetViews>
  <sheetFormatPr baseColWidth="10" defaultRowHeight="15" x14ac:dyDescent="0.25"/>
  <cols>
    <col min="2" max="2" width="16.140625" customWidth="1"/>
    <col min="3" max="3" width="24.42578125" customWidth="1"/>
    <col min="6" max="6" width="13.7109375" customWidth="1"/>
    <col min="7" max="7" width="24.85546875" customWidth="1"/>
    <col min="9" max="9" width="17.42578125" customWidth="1"/>
    <col min="10" max="10" width="15.140625" customWidth="1"/>
    <col min="11" max="11" width="16.85546875" customWidth="1"/>
  </cols>
  <sheetData>
    <row r="1" spans="1:12" x14ac:dyDescent="0.25">
      <c r="A1" s="161" t="s">
        <v>33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2" x14ac:dyDescent="0.25">
      <c r="A2" s="161"/>
      <c r="B2" s="161"/>
      <c r="C2" s="161"/>
      <c r="D2" s="161"/>
      <c r="E2" s="161"/>
      <c r="F2" s="161"/>
      <c r="G2" s="161"/>
      <c r="H2" s="161"/>
      <c r="I2" s="161"/>
      <c r="J2" s="161"/>
      <c r="K2" s="161"/>
    </row>
    <row r="3" spans="1:12" x14ac:dyDescent="0.25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</row>
    <row r="4" spans="1:12" x14ac:dyDescent="0.25">
      <c r="A4" s="17"/>
      <c r="B4" s="17"/>
      <c r="C4" s="17"/>
      <c r="D4" s="17"/>
      <c r="E4" s="17"/>
      <c r="F4" s="17"/>
      <c r="G4" s="17"/>
      <c r="H4" s="1"/>
      <c r="I4" s="1"/>
    </row>
    <row r="5" spans="1:12" x14ac:dyDescent="0.25">
      <c r="A5" s="17"/>
      <c r="B5" s="162" t="s">
        <v>27</v>
      </c>
      <c r="C5" s="162"/>
      <c r="D5" s="17"/>
      <c r="E5" s="17"/>
      <c r="F5" s="162" t="s">
        <v>27</v>
      </c>
      <c r="G5" s="162"/>
      <c r="H5" s="1"/>
      <c r="I5" s="159" t="s">
        <v>11</v>
      </c>
      <c r="J5" s="159"/>
      <c r="K5" s="159"/>
    </row>
    <row r="6" spans="1:12" x14ac:dyDescent="0.25">
      <c r="A6" s="17"/>
      <c r="B6" s="162"/>
      <c r="C6" s="162"/>
      <c r="D6" s="17"/>
      <c r="E6" s="17"/>
      <c r="F6" s="162"/>
      <c r="G6" s="162"/>
      <c r="H6" s="1"/>
      <c r="I6" s="159"/>
      <c r="J6" s="159"/>
      <c r="K6" s="159"/>
    </row>
    <row r="7" spans="1:12" x14ac:dyDescent="0.25">
      <c r="A7" s="17"/>
      <c r="B7" s="17" t="s">
        <v>9</v>
      </c>
      <c r="C7" s="25" t="s">
        <v>37</v>
      </c>
      <c r="D7" s="17"/>
      <c r="E7" s="17"/>
      <c r="F7" s="17" t="s">
        <v>9</v>
      </c>
      <c r="G7" s="25" t="s">
        <v>37</v>
      </c>
      <c r="H7" s="1"/>
      <c r="I7" s="159"/>
      <c r="J7" s="159"/>
      <c r="K7" s="159"/>
    </row>
    <row r="8" spans="1:12" ht="36" x14ac:dyDescent="0.55000000000000004">
      <c r="A8" s="17"/>
      <c r="B8" s="18">
        <v>17.91</v>
      </c>
      <c r="C8" s="18">
        <v>225</v>
      </c>
      <c r="D8" s="17"/>
      <c r="E8" s="17"/>
      <c r="F8" s="18">
        <v>2</v>
      </c>
      <c r="G8" s="18">
        <v>2</v>
      </c>
      <c r="H8" s="1"/>
      <c r="I8" s="159" t="str">
        <f>IF(I19&lt;0,CONCATENATE(" = ",H19," ",I19,"*j"),CONCATENATE(" = ",H19,"+ ",I19,"*j"))</f>
        <v xml:space="preserve"> = -14,663 -12,734*j</v>
      </c>
      <c r="J8" s="159"/>
      <c r="K8" s="159"/>
    </row>
    <row r="9" spans="1:12" x14ac:dyDescent="0.25">
      <c r="A9" s="22"/>
      <c r="B9" s="22"/>
      <c r="C9" s="22"/>
      <c r="D9" s="23"/>
      <c r="E9" s="23"/>
      <c r="F9" s="23"/>
      <c r="G9" s="23"/>
      <c r="H9" s="19"/>
      <c r="I9" s="19"/>
      <c r="J9" s="20"/>
      <c r="K9" s="20"/>
    </row>
    <row r="10" spans="1:12" x14ac:dyDescent="0.25">
      <c r="A10" s="22"/>
      <c r="B10" s="22"/>
      <c r="C10" s="22"/>
      <c r="D10" s="23"/>
      <c r="E10" s="23"/>
      <c r="F10" s="23"/>
      <c r="G10" s="23"/>
      <c r="H10" s="19"/>
      <c r="I10" s="19"/>
      <c r="J10" s="20"/>
      <c r="K10" s="20"/>
    </row>
    <row r="11" spans="1:12" x14ac:dyDescent="0.25">
      <c r="A11" s="22"/>
      <c r="B11" s="141"/>
      <c r="C11" s="141"/>
      <c r="D11" s="141"/>
      <c r="E11" s="141"/>
      <c r="F11" s="141"/>
      <c r="G11" s="141"/>
      <c r="H11" s="142"/>
      <c r="I11" s="142"/>
      <c r="J11" s="112"/>
      <c r="K11" s="112"/>
    </row>
    <row r="12" spans="1:12" x14ac:dyDescent="0.25">
      <c r="A12" s="21"/>
      <c r="B12" s="142"/>
      <c r="C12" s="142"/>
      <c r="D12" s="142"/>
      <c r="E12" s="142"/>
      <c r="F12" s="142"/>
      <c r="G12" s="142"/>
      <c r="H12" s="142"/>
      <c r="I12" s="142"/>
      <c r="J12" s="112"/>
      <c r="K12" s="112"/>
      <c r="L12" s="9"/>
    </row>
    <row r="13" spans="1:12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9"/>
      <c r="K13" s="9"/>
      <c r="L13" s="9"/>
    </row>
    <row r="14" spans="1:12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9"/>
      <c r="K14" s="9"/>
      <c r="L14" s="9"/>
    </row>
    <row r="15" spans="1:12" ht="30" x14ac:dyDescent="0.25">
      <c r="A15" s="21"/>
      <c r="B15" s="21"/>
      <c r="C15" s="21"/>
      <c r="D15" s="21"/>
      <c r="E15" s="21"/>
      <c r="F15" s="21"/>
      <c r="G15" s="21" t="s">
        <v>30</v>
      </c>
      <c r="H15" s="21" t="s">
        <v>31</v>
      </c>
      <c r="I15" s="21" t="s">
        <v>28</v>
      </c>
      <c r="J15" s="21"/>
      <c r="K15" s="21" t="s">
        <v>29</v>
      </c>
      <c r="L15" s="21"/>
    </row>
    <row r="16" spans="1:12" ht="15" customHeight="1" x14ac:dyDescent="0.25">
      <c r="A16" s="9"/>
      <c r="B16" s="9"/>
      <c r="C16" s="9"/>
      <c r="D16" s="9"/>
      <c r="E16" s="9"/>
      <c r="F16" s="9"/>
      <c r="G16" s="9">
        <f>B8*COS(RADIANS(C8))</f>
        <v>-12.664282451051069</v>
      </c>
      <c r="H16" s="9">
        <f>F8*COS(RADIANS(G8))</f>
        <v>1.9987816540381915</v>
      </c>
      <c r="I16" s="9">
        <f>(G16)-(H16)</f>
        <v>-14.66306410508926</v>
      </c>
      <c r="J16" s="9"/>
      <c r="K16" s="9">
        <f>B8*SIN(RADIANS(C8))-F8*SIN(RADIANS(G8))</f>
        <v>-12.734081444456066</v>
      </c>
      <c r="L16" s="9"/>
    </row>
    <row r="17" spans="1:12" ht="15" customHeight="1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</row>
    <row r="18" spans="1:12" ht="15" customHeight="1" x14ac:dyDescent="0.25">
      <c r="A18" s="9"/>
      <c r="B18" s="9"/>
      <c r="C18" s="9">
        <f>COS(21)</f>
        <v>-0.54772926022426838</v>
      </c>
      <c r="D18" s="9"/>
      <c r="E18" s="9"/>
      <c r="F18" s="9"/>
      <c r="G18" s="9"/>
      <c r="H18" s="9"/>
      <c r="I18" s="9"/>
      <c r="J18" s="9"/>
      <c r="K18" s="9"/>
      <c r="L18" s="9"/>
    </row>
    <row r="19" spans="1:12" x14ac:dyDescent="0.25">
      <c r="A19" s="9"/>
      <c r="B19" s="9"/>
      <c r="C19" s="9"/>
      <c r="D19" s="9"/>
      <c r="E19" s="9"/>
      <c r="F19" s="9"/>
      <c r="G19" s="9"/>
      <c r="H19" s="9">
        <f>ROUND(I16,3)</f>
        <v>-14.663</v>
      </c>
      <c r="I19" s="9">
        <f>ROUND(K16,3)</f>
        <v>-12.734</v>
      </c>
      <c r="J19" s="9"/>
      <c r="K19" s="9"/>
      <c r="L19" s="9"/>
    </row>
    <row r="20" spans="1:12" x14ac:dyDescent="0.25">
      <c r="A20" s="160" t="s">
        <v>32</v>
      </c>
      <c r="B20" s="160"/>
      <c r="C20" s="160"/>
      <c r="D20" s="160"/>
      <c r="E20" s="160"/>
      <c r="F20" s="160"/>
      <c r="G20" s="160"/>
      <c r="H20" s="160"/>
      <c r="I20" s="160"/>
      <c r="J20" s="160"/>
      <c r="K20" s="160"/>
      <c r="L20" s="9"/>
    </row>
    <row r="21" spans="1:12" x14ac:dyDescent="0.25">
      <c r="A21" s="160"/>
      <c r="B21" s="160"/>
      <c r="C21" s="160"/>
      <c r="D21" s="160"/>
      <c r="E21" s="160"/>
      <c r="F21" s="160"/>
      <c r="G21" s="160"/>
      <c r="H21" s="160"/>
      <c r="I21" s="160"/>
      <c r="J21" s="160"/>
      <c r="K21" s="160"/>
      <c r="L21" s="9"/>
    </row>
    <row r="22" spans="1:12" x14ac:dyDescent="0.25">
      <c r="A22" s="17"/>
      <c r="B22" s="162" t="s">
        <v>27</v>
      </c>
      <c r="C22" s="162"/>
      <c r="D22" s="17"/>
      <c r="E22" s="17"/>
      <c r="F22" s="162" t="s">
        <v>27</v>
      </c>
      <c r="G22" s="162"/>
      <c r="H22" s="1"/>
      <c r="I22" s="159" t="s">
        <v>11</v>
      </c>
      <c r="J22" s="159"/>
      <c r="K22" s="159"/>
      <c r="L22" s="9"/>
    </row>
    <row r="23" spans="1:12" x14ac:dyDescent="0.25">
      <c r="A23" s="17"/>
      <c r="B23" s="162"/>
      <c r="C23" s="162"/>
      <c r="D23" s="17"/>
      <c r="E23" s="17"/>
      <c r="F23" s="162"/>
      <c r="G23" s="162"/>
      <c r="H23" s="1"/>
      <c r="I23" s="159"/>
      <c r="J23" s="159"/>
      <c r="K23" s="159"/>
      <c r="L23" s="9"/>
    </row>
    <row r="24" spans="1:12" x14ac:dyDescent="0.25">
      <c r="A24" s="17"/>
      <c r="B24" s="17" t="s">
        <v>9</v>
      </c>
      <c r="C24" s="25" t="s">
        <v>37</v>
      </c>
      <c r="D24" s="17"/>
      <c r="E24" s="17"/>
      <c r="F24" s="17" t="s">
        <v>9</v>
      </c>
      <c r="G24" s="25" t="s">
        <v>37</v>
      </c>
      <c r="H24" s="1"/>
      <c r="I24" s="159"/>
      <c r="J24" s="159"/>
      <c r="K24" s="159"/>
    </row>
    <row r="25" spans="1:12" ht="36" x14ac:dyDescent="0.55000000000000004">
      <c r="A25" s="17"/>
      <c r="B25" s="18">
        <v>2</v>
      </c>
      <c r="C25" s="18">
        <v>23</v>
      </c>
      <c r="D25" s="17"/>
      <c r="E25" s="17"/>
      <c r="F25" s="18">
        <v>2</v>
      </c>
      <c r="G25" s="18">
        <v>21</v>
      </c>
      <c r="H25" s="1"/>
      <c r="I25" s="159" t="str">
        <f>IF(J32&lt;0,CONCATENATE(" = ",I32," ",J32,"*j"),CONCATENATE(" = ",I32,"+ ",J32,"*j"))</f>
        <v xml:space="preserve"> = 5,575+ 1,498*j</v>
      </c>
      <c r="J25" s="159"/>
      <c r="K25" s="159"/>
    </row>
    <row r="27" spans="1:1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</row>
    <row r="28" spans="1:12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</row>
    <row r="29" spans="1:12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</row>
    <row r="30" spans="1:12" x14ac:dyDescent="0.25">
      <c r="A30" s="9"/>
      <c r="B30" s="9"/>
      <c r="C30" s="9"/>
      <c r="D30" s="9"/>
      <c r="E30" s="9"/>
      <c r="F30" s="9"/>
      <c r="G30" s="9"/>
      <c r="H30" s="9"/>
      <c r="I30" s="9" t="s">
        <v>35</v>
      </c>
      <c r="J30" s="9" t="s">
        <v>34</v>
      </c>
      <c r="K30" s="9"/>
      <c r="L30" s="9"/>
    </row>
    <row r="31" spans="1:12" x14ac:dyDescent="0.25">
      <c r="A31" s="9"/>
      <c r="B31" s="9"/>
      <c r="C31" s="9"/>
      <c r="D31" s="9"/>
      <c r="E31" s="9"/>
      <c r="F31" s="9"/>
      <c r="G31" s="9"/>
      <c r="H31" s="9"/>
      <c r="I31" s="9">
        <f>B25*(COS(RADIANS(C25))+F25*COS(RADIANS(G25)))</f>
        <v>5.5753314128936875</v>
      </c>
      <c r="J31" s="9">
        <f>B25*SIN(RADIANS(C25))+F25*SIN(RADIANS(G25))</f>
        <v>1.4981981560691482</v>
      </c>
      <c r="K31" s="9"/>
      <c r="L31" s="9"/>
    </row>
    <row r="32" spans="1:12" x14ac:dyDescent="0.25">
      <c r="A32" s="9"/>
      <c r="B32" s="9"/>
      <c r="C32" s="9"/>
      <c r="D32" s="9"/>
      <c r="E32" s="9"/>
      <c r="F32" s="9"/>
      <c r="G32" s="9"/>
      <c r="H32" s="9"/>
      <c r="I32" s="9">
        <f>ROUND(I31,3)</f>
        <v>5.5750000000000002</v>
      </c>
      <c r="J32" s="9">
        <f>ROUND(J31,3)</f>
        <v>1.498</v>
      </c>
      <c r="K32" s="9"/>
      <c r="L32" s="9"/>
    </row>
    <row r="33" spans="1:12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</row>
    <row r="34" spans="1:12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</row>
    <row r="35" spans="1:12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</row>
    <row r="36" spans="1:12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</row>
    <row r="37" spans="1:1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2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</row>
    <row r="39" spans="1:1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</row>
  </sheetData>
  <customSheetViews>
    <customSheetView guid="{3A3E5509-6F94-4D69-A7C4-CEBE4E279804}" scale="70" showGridLines="0">
      <selection activeCell="F8" sqref="F8"/>
      <pageMargins left="0.7" right="0.7" top="0.75" bottom="0.75" header="0.3" footer="0.3"/>
      <pageSetup paperSize="9" orientation="portrait" horizontalDpi="0" verticalDpi="0" r:id="rId1"/>
    </customSheetView>
  </customSheetViews>
  <mergeCells count="10">
    <mergeCell ref="I25:K25"/>
    <mergeCell ref="A20:K21"/>
    <mergeCell ref="A1:K3"/>
    <mergeCell ref="B22:C23"/>
    <mergeCell ref="F22:G23"/>
    <mergeCell ref="I22:K24"/>
    <mergeCell ref="F5:G6"/>
    <mergeCell ref="B5:C6"/>
    <mergeCell ref="I5:K7"/>
    <mergeCell ref="I8:K8"/>
  </mergeCells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25"/>
  <sheetViews>
    <sheetView showGridLines="0" topLeftCell="B1" zoomScale="70" zoomScaleNormal="70" workbookViewId="0">
      <selection activeCell="D20" sqref="D20"/>
    </sheetView>
  </sheetViews>
  <sheetFormatPr baseColWidth="10" defaultRowHeight="15" x14ac:dyDescent="0.25"/>
  <cols>
    <col min="1" max="1" width="5.7109375" hidden="1" customWidth="1"/>
    <col min="3" max="3" width="14.5703125" customWidth="1"/>
    <col min="4" max="4" width="26.5703125" customWidth="1"/>
    <col min="5" max="6" width="18" customWidth="1"/>
    <col min="7" max="7" width="7.28515625" customWidth="1"/>
    <col min="8" max="8" width="7" customWidth="1"/>
    <col min="9" max="9" width="5.7109375" customWidth="1"/>
    <col min="12" max="12" width="14.140625" customWidth="1"/>
    <col min="15" max="15" width="23.42578125" customWidth="1"/>
    <col min="16" max="16" width="24.140625" customWidth="1"/>
    <col min="17" max="17" width="12.140625" customWidth="1"/>
    <col min="18" max="18" width="22.85546875" customWidth="1"/>
  </cols>
  <sheetData>
    <row r="1" spans="1:20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20" x14ac:dyDescent="0.25">
      <c r="A2" s="2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2"/>
    </row>
    <row r="3" spans="1:20" ht="15" customHeight="1" x14ac:dyDescent="0.25">
      <c r="A3" s="2"/>
      <c r="B3" s="164" t="s">
        <v>5</v>
      </c>
      <c r="C3" s="164" t="s">
        <v>2</v>
      </c>
      <c r="D3" s="164"/>
      <c r="E3" s="168" t="s">
        <v>13</v>
      </c>
      <c r="F3" s="168"/>
      <c r="G3" s="10"/>
      <c r="H3" s="10"/>
      <c r="I3" s="10"/>
      <c r="J3" s="177" t="s">
        <v>6</v>
      </c>
      <c r="K3" s="177" t="s">
        <v>0</v>
      </c>
      <c r="L3" s="177"/>
      <c r="M3" s="177"/>
      <c r="N3" s="177"/>
      <c r="O3" s="180" t="s">
        <v>11</v>
      </c>
      <c r="P3" s="180"/>
    </row>
    <row r="4" spans="1:20" x14ac:dyDescent="0.25">
      <c r="A4" s="2"/>
      <c r="B4" s="164"/>
      <c r="C4" s="164"/>
      <c r="D4" s="164"/>
      <c r="E4" s="168"/>
      <c r="F4" s="168"/>
      <c r="G4" s="10"/>
      <c r="H4" s="10"/>
      <c r="I4" s="10"/>
      <c r="J4" s="177"/>
      <c r="K4" s="177"/>
      <c r="L4" s="177"/>
      <c r="M4" s="177"/>
      <c r="N4" s="177"/>
      <c r="O4" s="180"/>
      <c r="P4" s="180"/>
    </row>
    <row r="5" spans="1:20" ht="39.75" customHeight="1" x14ac:dyDescent="0.25">
      <c r="A5" s="2"/>
      <c r="B5" s="167"/>
      <c r="C5" s="6" t="s">
        <v>1</v>
      </c>
      <c r="D5" s="6" t="s">
        <v>38</v>
      </c>
      <c r="E5" s="168"/>
      <c r="F5" s="168"/>
      <c r="G5" s="6"/>
      <c r="H5" s="6"/>
      <c r="I5" s="6"/>
      <c r="J5" s="166"/>
      <c r="K5" s="166" t="s">
        <v>3</v>
      </c>
      <c r="L5" s="166"/>
      <c r="M5" s="166" t="s">
        <v>4</v>
      </c>
      <c r="N5" s="166"/>
      <c r="O5" s="180"/>
      <c r="P5" s="180"/>
      <c r="Q5" s="4" t="s">
        <v>7</v>
      </c>
      <c r="S5" s="9"/>
      <c r="T5" s="9"/>
    </row>
    <row r="6" spans="1:20" ht="26.25" x14ac:dyDescent="0.4">
      <c r="A6" s="2"/>
      <c r="B6" s="167"/>
      <c r="C6" s="11">
        <v>17.170000000000002</v>
      </c>
      <c r="D6" s="11">
        <v>225</v>
      </c>
      <c r="E6" s="169" t="str">
        <f>CONCATENATE(C6," *e^",D6," º *j")</f>
        <v>17,17 *e^225 º *j</v>
      </c>
      <c r="F6" s="169"/>
      <c r="G6" s="6"/>
      <c r="H6" s="6"/>
      <c r="I6" s="6"/>
      <c r="J6" s="166"/>
      <c r="K6" s="181">
        <f>+T6</f>
        <v>-12.141</v>
      </c>
      <c r="L6" s="181"/>
      <c r="M6" s="182" t="str">
        <f>CONCATENATE(R6," *j")</f>
        <v>-12,141 *j</v>
      </c>
      <c r="N6" s="182"/>
      <c r="O6" s="179" t="str">
        <f>IF(R6&lt;0,CONCATENATE(K6,M6),CONCATENATE(K6," + ",M6))</f>
        <v>-12,141-12,141 *j</v>
      </c>
      <c r="P6" s="179"/>
      <c r="Q6" s="4">
        <f>+C6*SIN(RADIANS(D6))</f>
        <v>-12.141023432973022</v>
      </c>
      <c r="R6" s="7">
        <f>ROUND(Q6,3)</f>
        <v>-12.141</v>
      </c>
      <c r="S6" s="9">
        <f>C6*COS(RADIANS(D6))</f>
        <v>-12.141023432973025</v>
      </c>
      <c r="T6" s="9">
        <f>ROUND(S6,3)</f>
        <v>-12.141</v>
      </c>
    </row>
    <row r="7" spans="1:20" x14ac:dyDescent="0.25">
      <c r="A7" s="2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2"/>
      <c r="S7" s="9"/>
      <c r="T7" s="9"/>
    </row>
    <row r="8" spans="1:20" x14ac:dyDescent="0.25">
      <c r="A8" s="2"/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2"/>
    </row>
    <row r="9" spans="1:20" x14ac:dyDescent="0.25">
      <c r="A9" s="2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2"/>
    </row>
    <row r="10" spans="1:20" x14ac:dyDescent="0.25">
      <c r="A10" s="2"/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2"/>
    </row>
    <row r="11" spans="1:20" x14ac:dyDescent="0.25">
      <c r="A11" s="2"/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2"/>
    </row>
    <row r="12" spans="1:20" x14ac:dyDescent="0.25">
      <c r="A12" s="2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2"/>
    </row>
    <row r="13" spans="1:20" x14ac:dyDescent="0.25">
      <c r="A13" s="2"/>
      <c r="B13" s="5"/>
      <c r="C13" s="5"/>
      <c r="D13" s="5"/>
      <c r="E13" s="5"/>
      <c r="F13" s="5"/>
      <c r="G13" s="5"/>
      <c r="H13" s="5"/>
      <c r="I13" s="5"/>
      <c r="J13" s="5"/>
      <c r="K13" s="6"/>
      <c r="L13" s="6"/>
      <c r="M13" s="6"/>
      <c r="N13" s="6"/>
      <c r="O13" s="2"/>
    </row>
    <row r="14" spans="1:20" x14ac:dyDescent="0.25">
      <c r="A14" s="2"/>
      <c r="B14" s="5"/>
      <c r="C14" s="5"/>
      <c r="D14" s="5"/>
      <c r="E14" s="5"/>
      <c r="F14" s="5"/>
      <c r="G14" s="5"/>
      <c r="H14" s="5"/>
      <c r="I14" s="5"/>
      <c r="J14" s="5"/>
      <c r="K14" s="6"/>
      <c r="L14" s="6"/>
      <c r="M14" s="6"/>
      <c r="N14" s="6"/>
      <c r="O14" s="2"/>
    </row>
    <row r="15" spans="1:20" x14ac:dyDescent="0.25">
      <c r="A15" s="2"/>
      <c r="B15" s="5"/>
      <c r="C15" s="5"/>
      <c r="D15" s="5"/>
      <c r="E15" s="24"/>
      <c r="F15" s="24"/>
      <c r="G15" s="5"/>
      <c r="H15" s="5"/>
      <c r="I15" s="5"/>
      <c r="J15" s="5"/>
      <c r="K15" s="6"/>
      <c r="L15" s="6"/>
      <c r="M15" s="6"/>
      <c r="N15" s="6"/>
      <c r="O15" s="2"/>
    </row>
    <row r="16" spans="1:20" x14ac:dyDescent="0.25">
      <c r="A16" s="2"/>
      <c r="B16" s="170" t="s">
        <v>5</v>
      </c>
      <c r="C16" s="163" t="s">
        <v>0</v>
      </c>
      <c r="D16" s="163"/>
      <c r="E16" s="171" t="s">
        <v>14</v>
      </c>
      <c r="F16" s="172"/>
      <c r="G16" s="12"/>
      <c r="H16" s="12"/>
      <c r="I16" s="12"/>
      <c r="J16" s="163" t="s">
        <v>6</v>
      </c>
      <c r="K16" s="163" t="s">
        <v>2</v>
      </c>
      <c r="L16" s="163"/>
      <c r="M16" s="163"/>
      <c r="N16" s="163"/>
      <c r="O16" s="180" t="s">
        <v>11</v>
      </c>
      <c r="P16" s="180"/>
      <c r="Q16" s="3"/>
    </row>
    <row r="17" spans="1:20" x14ac:dyDescent="0.25">
      <c r="A17" s="2"/>
      <c r="B17" s="170"/>
      <c r="C17" s="163"/>
      <c r="D17" s="163"/>
      <c r="E17" s="173"/>
      <c r="F17" s="174"/>
      <c r="G17" s="12"/>
      <c r="H17" s="12"/>
      <c r="I17" s="12"/>
      <c r="J17" s="163"/>
      <c r="K17" s="163"/>
      <c r="L17" s="163"/>
      <c r="M17" s="163"/>
      <c r="N17" s="163"/>
      <c r="O17" s="180"/>
      <c r="P17" s="180"/>
      <c r="T17" s="9"/>
    </row>
    <row r="18" spans="1:20" ht="46.5" customHeight="1" x14ac:dyDescent="0.25">
      <c r="A18" s="2"/>
      <c r="B18" s="166"/>
      <c r="C18" s="11" t="s">
        <v>8</v>
      </c>
      <c r="D18" s="11" t="s">
        <v>12</v>
      </c>
      <c r="E18" s="175"/>
      <c r="F18" s="176"/>
      <c r="G18" s="5"/>
      <c r="H18" s="5"/>
      <c r="I18" s="5"/>
      <c r="J18" s="167"/>
      <c r="K18" s="165" t="s">
        <v>9</v>
      </c>
      <c r="L18" s="165"/>
      <c r="M18" s="165" t="s">
        <v>10</v>
      </c>
      <c r="N18" s="165"/>
      <c r="O18" s="180"/>
      <c r="P18" s="180"/>
      <c r="T18" s="9" t="s">
        <v>36</v>
      </c>
    </row>
    <row r="19" spans="1:20" ht="23.25" x14ac:dyDescent="0.35">
      <c r="A19" s="2"/>
      <c r="B19" s="166"/>
      <c r="C19" s="11">
        <f>16/SQRT(2)</f>
        <v>11.313708498984759</v>
      </c>
      <c r="D19" s="11">
        <f>16/SQRT(2)</f>
        <v>11.313708498984759</v>
      </c>
      <c r="E19" s="169" t="str">
        <f>IF(D19&lt;0,CONCATENATE(C19,D19,"*j"),CONCATENATE(C19," + ",D19,"*j"))</f>
        <v>11,3137084989848 + 11,3137084989848*j</v>
      </c>
      <c r="F19" s="169"/>
      <c r="G19" s="5"/>
      <c r="H19" s="5"/>
      <c r="I19" s="5"/>
      <c r="J19" s="167"/>
      <c r="K19" s="183">
        <f>IMABS(C21)</f>
        <v>16.000000000000057</v>
      </c>
      <c r="L19" s="183"/>
      <c r="M19" s="183">
        <f>DEGREES(IMARGUMENT(C21))</f>
        <v>45</v>
      </c>
      <c r="N19" s="183"/>
      <c r="O19" s="178" t="str">
        <f>CONCATENATE(ROUND(D23,4),"*e^",ROUND(E23,4),"º*j")</f>
        <v>16*e^45º*j</v>
      </c>
      <c r="P19" s="178"/>
      <c r="Q19" s="8">
        <f>ROUND(K19,3)</f>
        <v>16</v>
      </c>
      <c r="R19" s="8">
        <f>ROUND(M19,3)</f>
        <v>45</v>
      </c>
      <c r="T19" s="9">
        <f>ATAN(D19/C19)*180/PI()</f>
        <v>45</v>
      </c>
    </row>
    <row r="20" spans="1:20" x14ac:dyDescent="0.25">
      <c r="A20" s="2"/>
      <c r="B20" s="6"/>
      <c r="C20" s="6"/>
      <c r="D20" s="6"/>
      <c r="E20" s="6"/>
      <c r="F20" s="6"/>
      <c r="G20" s="5"/>
      <c r="H20" s="5"/>
      <c r="I20" s="5"/>
      <c r="J20" s="5"/>
      <c r="K20" s="5"/>
      <c r="L20" s="5"/>
      <c r="M20" s="5"/>
      <c r="N20" s="5"/>
      <c r="O20" s="2"/>
      <c r="T20" s="9"/>
    </row>
    <row r="21" spans="1:20" x14ac:dyDescent="0.25">
      <c r="A21" s="9"/>
      <c r="B21" s="21"/>
      <c r="C21" s="21" t="str">
        <f>COMPLEX(C19,D19)</f>
        <v>11,3137084989848+11,3137084989848i</v>
      </c>
      <c r="D21" s="21"/>
      <c r="E21" s="21"/>
      <c r="F21" s="21"/>
      <c r="T21" s="9">
        <f>ROUND(T19,3)</f>
        <v>45</v>
      </c>
    </row>
    <row r="22" spans="1:20" x14ac:dyDescent="0.25">
      <c r="A22" s="9"/>
      <c r="B22" s="21"/>
      <c r="C22" s="21" t="str">
        <f>COMPLEX(C19,D19)</f>
        <v>11,3137084989848+11,3137084989848i</v>
      </c>
      <c r="D22" s="21" t="s">
        <v>225</v>
      </c>
      <c r="E22" s="21" t="s">
        <v>36</v>
      </c>
      <c r="F22" s="21"/>
      <c r="T22" s="9"/>
    </row>
    <row r="23" spans="1:20" x14ac:dyDescent="0.25">
      <c r="A23" s="9"/>
      <c r="B23" s="9"/>
      <c r="C23" s="9"/>
      <c r="D23" s="9">
        <f>IMABS(C22)</f>
        <v>16.000000000000057</v>
      </c>
      <c r="E23" s="9">
        <f>DEGREES(IMARGUMENT(C22))</f>
        <v>45</v>
      </c>
      <c r="F23" s="9"/>
    </row>
    <row r="24" spans="1:20" x14ac:dyDescent="0.25">
      <c r="A24" s="9"/>
      <c r="B24" s="9"/>
      <c r="C24" s="9"/>
      <c r="D24" s="9"/>
      <c r="E24" s="9"/>
      <c r="F24" s="9"/>
    </row>
    <row r="25" spans="1:20" x14ac:dyDescent="0.25">
      <c r="A25" s="9"/>
      <c r="B25" s="9"/>
      <c r="C25" s="9"/>
      <c r="D25" s="9"/>
      <c r="E25" s="9"/>
      <c r="F25" s="9"/>
    </row>
  </sheetData>
  <customSheetViews>
    <customSheetView guid="{3A3E5509-6F94-4D69-A7C4-CEBE4E279804}" scale="70" showGridLines="0" hiddenColumns="1" topLeftCell="B1">
      <selection activeCell="D20" sqref="D20"/>
      <pageMargins left="0.7" right="0.7" top="0.75" bottom="0.75" header="0.3" footer="0.3"/>
      <pageSetup paperSize="9" orientation="portrait" horizontalDpi="0" verticalDpi="0" r:id="rId1"/>
    </customSheetView>
  </customSheetViews>
  <mergeCells count="28">
    <mergeCell ref="J18:J19"/>
    <mergeCell ref="K6:L6"/>
    <mergeCell ref="M6:N6"/>
    <mergeCell ref="K19:L19"/>
    <mergeCell ref="M19:N19"/>
    <mergeCell ref="K16:N17"/>
    <mergeCell ref="K5:L5"/>
    <mergeCell ref="O19:P19"/>
    <mergeCell ref="O6:P6"/>
    <mergeCell ref="M18:N18"/>
    <mergeCell ref="O16:P18"/>
    <mergeCell ref="O3:P5"/>
    <mergeCell ref="C16:D17"/>
    <mergeCell ref="C3:D4"/>
    <mergeCell ref="K18:L18"/>
    <mergeCell ref="B18:B19"/>
    <mergeCell ref="B5:B6"/>
    <mergeCell ref="J5:J6"/>
    <mergeCell ref="E3:F5"/>
    <mergeCell ref="E6:F6"/>
    <mergeCell ref="E19:F19"/>
    <mergeCell ref="B3:B4"/>
    <mergeCell ref="B16:B17"/>
    <mergeCell ref="E16:F18"/>
    <mergeCell ref="K3:N4"/>
    <mergeCell ref="J3:J4"/>
    <mergeCell ref="J16:J17"/>
    <mergeCell ref="M5:N5"/>
  </mergeCells>
  <pageMargins left="0.7" right="0.7" top="0.75" bottom="0.75" header="0.3" footer="0.3"/>
  <pageSetup paperSize="9" orientation="portrait" horizontalDpi="0" verticalDpi="0" r:id="rId2"/>
  <ignoredErrors>
    <ignoredError sqref="S6" formula="1"/>
  </ignoredError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18"/>
  <sheetViews>
    <sheetView showGridLines="0" topLeftCell="A4" zoomScale="85" zoomScaleNormal="85" workbookViewId="0">
      <selection activeCell="G26" sqref="G26"/>
    </sheetView>
  </sheetViews>
  <sheetFormatPr baseColWidth="10" defaultRowHeight="15" x14ac:dyDescent="0.25"/>
  <cols>
    <col min="7" max="7" width="9.85546875" customWidth="1"/>
  </cols>
  <sheetData>
    <row r="1" spans="1:1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8" ht="55.5" customHeight="1" x14ac:dyDescent="0.25">
      <c r="A2" s="184" t="s">
        <v>18</v>
      </c>
      <c r="B2" s="184"/>
      <c r="C2" s="1"/>
      <c r="D2" s="186" t="s">
        <v>15</v>
      </c>
      <c r="E2" s="186"/>
      <c r="F2" s="13"/>
      <c r="G2" s="13"/>
      <c r="H2" s="13"/>
      <c r="I2" s="186" t="s">
        <v>16</v>
      </c>
      <c r="J2" s="186"/>
      <c r="K2" s="13"/>
      <c r="N2" s="189" t="s">
        <v>11</v>
      </c>
      <c r="O2" s="189"/>
      <c r="P2" s="189"/>
      <c r="Q2" s="9" t="s">
        <v>19</v>
      </c>
      <c r="R2" s="9" t="s">
        <v>20</v>
      </c>
    </row>
    <row r="3" spans="1:18" ht="30" customHeight="1" x14ac:dyDescent="0.25">
      <c r="A3" s="184"/>
      <c r="B3" s="184"/>
      <c r="C3" s="1"/>
      <c r="D3" s="15" t="s">
        <v>9</v>
      </c>
      <c r="E3" s="15" t="s">
        <v>17</v>
      </c>
      <c r="F3" s="185" t="s">
        <v>21</v>
      </c>
      <c r="G3" s="185"/>
      <c r="H3" s="1"/>
      <c r="I3" s="15" t="s">
        <v>9</v>
      </c>
      <c r="J3" s="15" t="s">
        <v>17</v>
      </c>
      <c r="K3" s="185" t="s">
        <v>22</v>
      </c>
      <c r="L3" s="185"/>
      <c r="N3" s="190" t="str">
        <f>IF(D4=0,"0",CONCATENATE("i = ",Q5," *e^",R3,"º*j"))</f>
        <v>i = 7,176 *e^113º*j</v>
      </c>
      <c r="O3" s="190"/>
      <c r="P3" s="190"/>
      <c r="Q3" s="9">
        <f>D4/I4</f>
        <v>7.1764705882352944</v>
      </c>
      <c r="R3" s="9">
        <f>+(E4)-(J4)</f>
        <v>113</v>
      </c>
    </row>
    <row r="4" spans="1:18" ht="15.75" x14ac:dyDescent="0.25">
      <c r="A4" s="184"/>
      <c r="B4" s="184"/>
      <c r="C4" s="1"/>
      <c r="D4" s="16">
        <v>244</v>
      </c>
      <c r="E4" s="16">
        <v>180</v>
      </c>
      <c r="F4" s="187" t="str">
        <f>CONCATENATE("V = ",D4,"*e^",E4)</f>
        <v>V = 244*e^180</v>
      </c>
      <c r="G4" s="188"/>
      <c r="H4" s="14"/>
      <c r="I4" s="16">
        <v>34</v>
      </c>
      <c r="J4" s="16">
        <v>67</v>
      </c>
      <c r="K4" s="187" t="str">
        <f>CONCATENATE("Z = ",I4,"*e^",J4)</f>
        <v>Z = 34*e^67</v>
      </c>
      <c r="L4" s="188"/>
      <c r="N4" s="190"/>
      <c r="O4" s="190"/>
      <c r="P4" s="190"/>
      <c r="Q4" s="9"/>
      <c r="R4" s="9"/>
    </row>
    <row r="5" spans="1:18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Q5" s="9">
        <f>ROUND(Q3,3)</f>
        <v>7.1760000000000002</v>
      </c>
      <c r="R5" s="9"/>
    </row>
    <row r="6" spans="1:18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Q6" s="9"/>
      <c r="R6" s="9"/>
    </row>
    <row r="7" spans="1:18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Q7" s="9"/>
      <c r="R7" s="9"/>
    </row>
    <row r="8" spans="1:18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8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8" ht="46.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8" ht="1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8" ht="23.2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8" ht="46.5" x14ac:dyDescent="0.25">
      <c r="A13" s="184" t="s">
        <v>23</v>
      </c>
      <c r="B13" s="184"/>
      <c r="C13" s="1"/>
      <c r="D13" s="186" t="s">
        <v>15</v>
      </c>
      <c r="E13" s="186"/>
      <c r="F13" s="13"/>
      <c r="G13" s="13"/>
      <c r="H13" s="13"/>
      <c r="I13" s="186" t="s">
        <v>24</v>
      </c>
      <c r="J13" s="186"/>
      <c r="K13" s="13"/>
      <c r="N13" s="189" t="s">
        <v>11</v>
      </c>
      <c r="O13" s="189"/>
      <c r="P13" s="189"/>
      <c r="Q13" s="9" t="s">
        <v>26</v>
      </c>
      <c r="R13" s="9" t="s">
        <v>20</v>
      </c>
    </row>
    <row r="14" spans="1:18" x14ac:dyDescent="0.25">
      <c r="A14" s="184"/>
      <c r="B14" s="184"/>
      <c r="C14" s="1"/>
      <c r="D14" s="15" t="s">
        <v>9</v>
      </c>
      <c r="E14" s="15" t="s">
        <v>17</v>
      </c>
      <c r="F14" s="185" t="s">
        <v>21</v>
      </c>
      <c r="G14" s="185"/>
      <c r="H14" s="1"/>
      <c r="I14" s="15" t="s">
        <v>9</v>
      </c>
      <c r="J14" s="15" t="s">
        <v>17</v>
      </c>
      <c r="K14" s="185" t="s">
        <v>25</v>
      </c>
      <c r="L14" s="185"/>
      <c r="N14" s="190" t="str">
        <f>IF(D15=0,"0",CONCATENATE("Z = ",Q17,"*e^",R15,"º*j"))</f>
        <v>Z = 0,009*e^9º*j</v>
      </c>
      <c r="O14" s="190"/>
      <c r="P14" s="190"/>
      <c r="Q14" s="9"/>
      <c r="R14" s="9"/>
    </row>
    <row r="15" spans="1:18" ht="50.25" customHeight="1" x14ac:dyDescent="0.25">
      <c r="A15" s="184"/>
      <c r="B15" s="184"/>
      <c r="C15" s="1"/>
      <c r="D15" s="16">
        <v>3</v>
      </c>
      <c r="E15" s="16">
        <v>32</v>
      </c>
      <c r="F15" s="187" t="str">
        <f>CONCATENATE("V = ",D15,"*e^",E15)</f>
        <v>V = 3*e^32</v>
      </c>
      <c r="G15" s="188"/>
      <c r="H15" s="14"/>
      <c r="I15" s="16">
        <v>323</v>
      </c>
      <c r="J15" s="16">
        <v>23</v>
      </c>
      <c r="K15" s="187" t="str">
        <f>CONCATENATE("i = ",I15,"*e^",J15)</f>
        <v>i = 323*e^23</v>
      </c>
      <c r="L15" s="188"/>
      <c r="N15" s="190"/>
      <c r="O15" s="190"/>
      <c r="P15" s="190"/>
      <c r="Q15" s="9">
        <f>+D15/I15</f>
        <v>9.2879256965944269E-3</v>
      </c>
      <c r="R15" s="9">
        <f>(E15)-(J15)</f>
        <v>9</v>
      </c>
    </row>
    <row r="16" spans="1:18" x14ac:dyDescent="0.25">
      <c r="Q16" s="9"/>
      <c r="R16" s="9"/>
    </row>
    <row r="17" spans="17:18" x14ac:dyDescent="0.25">
      <c r="Q17" s="9">
        <f>ROUND(Q15,3)</f>
        <v>8.9999999999999993E-3</v>
      </c>
      <c r="R17" s="9"/>
    </row>
    <row r="18" spans="17:18" x14ac:dyDescent="0.25">
      <c r="Q18" s="9"/>
      <c r="R18" s="9"/>
    </row>
  </sheetData>
  <customSheetViews>
    <customSheetView guid="{3A3E5509-6F94-4D69-A7C4-CEBE4E279804}" scale="85" showGridLines="0" topLeftCell="A4">
      <selection activeCell="G26" sqref="G26"/>
      <pageMargins left="0.7" right="0.7" top="0.75" bottom="0.75" header="0.3" footer="0.3"/>
      <pageSetup paperSize="9" orientation="portrait" horizontalDpi="0" verticalDpi="0" r:id="rId1"/>
    </customSheetView>
  </customSheetViews>
  <mergeCells count="18">
    <mergeCell ref="N2:P2"/>
    <mergeCell ref="N3:P4"/>
    <mergeCell ref="N13:P13"/>
    <mergeCell ref="F14:G14"/>
    <mergeCell ref="K14:L14"/>
    <mergeCell ref="N14:P15"/>
    <mergeCell ref="F15:G15"/>
    <mergeCell ref="K15:L15"/>
    <mergeCell ref="A2:B4"/>
    <mergeCell ref="K3:L3"/>
    <mergeCell ref="F3:G3"/>
    <mergeCell ref="A13:B15"/>
    <mergeCell ref="D13:E13"/>
    <mergeCell ref="I13:J13"/>
    <mergeCell ref="F4:G4"/>
    <mergeCell ref="K4:L4"/>
    <mergeCell ref="D2:E2"/>
    <mergeCell ref="I2:J2"/>
  </mergeCells>
  <pageMargins left="0.7" right="0.7" top="0.75" bottom="0.75" header="0.3" footer="0.3"/>
  <pageSetup paperSize="9" orientation="portrait" horizontalDpi="0" verticalDpi="0" r:id="rId2"/>
  <ignoredErrors>
    <ignoredError sqref="Q5 Q3 Q15 Q17" evalError="1"/>
  </ignoredError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sd"/>
  <dimension ref="A1:AV93"/>
  <sheetViews>
    <sheetView showGridLines="0" zoomScale="70" zoomScaleNormal="70" workbookViewId="0">
      <selection activeCell="O24" sqref="O24"/>
    </sheetView>
  </sheetViews>
  <sheetFormatPr baseColWidth="10" defaultRowHeight="15" x14ac:dyDescent="0.25"/>
  <cols>
    <col min="1" max="1" width="56.85546875" customWidth="1"/>
    <col min="2" max="2" width="11.85546875" customWidth="1"/>
    <col min="3" max="3" width="10.85546875" customWidth="1"/>
    <col min="5" max="5" width="7.28515625" customWidth="1"/>
    <col min="6" max="6" width="11.42578125" customWidth="1"/>
    <col min="7" max="7" width="15.28515625" customWidth="1"/>
    <col min="9" max="9" width="15.5703125" customWidth="1"/>
    <col min="10" max="10" width="13" customWidth="1"/>
    <col min="11" max="11" width="11.5703125" bestFit="1" customWidth="1"/>
    <col min="12" max="12" width="11.7109375" bestFit="1" customWidth="1"/>
    <col min="13" max="13" width="11.5703125" bestFit="1" customWidth="1"/>
    <col min="14" max="14" width="10.140625" customWidth="1"/>
    <col min="15" max="15" width="11.7109375" bestFit="1" customWidth="1"/>
    <col min="16" max="17" width="14.42578125" bestFit="1" customWidth="1"/>
    <col min="18" max="18" width="18.28515625" customWidth="1"/>
    <col min="19" max="19" width="47.7109375" customWidth="1"/>
    <col min="20" max="20" width="39.28515625" customWidth="1"/>
    <col min="21" max="21" width="12.28515625" customWidth="1"/>
    <col min="22" max="22" width="21.28515625" bestFit="1" customWidth="1"/>
    <col min="23" max="23" width="18.5703125" customWidth="1"/>
    <col min="24" max="24" width="11.5703125" bestFit="1" customWidth="1"/>
    <col min="25" max="25" width="11.7109375" bestFit="1" customWidth="1"/>
    <col min="30" max="30" width="11.5703125" bestFit="1" customWidth="1"/>
    <col min="31" max="31" width="20.7109375" bestFit="1" customWidth="1"/>
  </cols>
  <sheetData>
    <row r="1" spans="1:25" ht="24" customHeight="1" x14ac:dyDescent="0.3">
      <c r="E1" s="198" t="s">
        <v>192</v>
      </c>
      <c r="F1" s="199"/>
      <c r="G1" s="200"/>
      <c r="I1" s="218" t="str">
        <f>IF(B19="no","V DE FASE = V DE CARGA",IF(B19="si","V DE FASE GEN.",""))</f>
        <v>V DE FASE GEN.</v>
      </c>
      <c r="J1" s="218"/>
      <c r="N1" s="30" t="s">
        <v>9</v>
      </c>
      <c r="O1" s="30" t="s">
        <v>10</v>
      </c>
      <c r="P1" s="43"/>
      <c r="Q1" s="43"/>
      <c r="R1" s="207" t="str">
        <f>IF(B19="si","V DE CARGA","")</f>
        <v>V DE CARGA</v>
      </c>
      <c r="S1" s="208"/>
      <c r="T1" s="209"/>
      <c r="U1" s="57" t="s">
        <v>72</v>
      </c>
      <c r="V1" s="57" t="s">
        <v>208</v>
      </c>
      <c r="W1" s="5"/>
      <c r="X1" s="5"/>
      <c r="Y1" s="5"/>
    </row>
    <row r="2" spans="1:25" ht="24.75" customHeight="1" x14ac:dyDescent="0.35">
      <c r="A2" s="40" t="s">
        <v>40</v>
      </c>
      <c r="B2" s="34" t="s">
        <v>99</v>
      </c>
      <c r="E2" s="198" t="str">
        <f>IF(B2="directa",CONCATENATE("Vac= ",B5,"*e^150ºj"),IF(B2="indirecta",CONCATENATE("Vac=",B5,"*e^30ºj"),"coloque sec."))</f>
        <v>Vac=380*e^30ºj</v>
      </c>
      <c r="F2" s="199"/>
      <c r="G2" s="200"/>
      <c r="I2" s="201" t="str">
        <f>IF(B2="directa",CONCATENATE("Ean=",P32,"*e^","0ºj"),IF(B2="indirecta",CONCATENATE("Ean=",P32,"*e^","0ºj"),"coloque secuencia"))</f>
        <v>Ean=219,39*e^0ºj</v>
      </c>
      <c r="J2" s="201"/>
      <c r="N2" s="33"/>
      <c r="O2" s="33"/>
      <c r="P2" s="43"/>
      <c r="Q2" s="43"/>
      <c r="R2" s="207" t="str">
        <f>IF(B19="si",CONCATENATE("Vz1 o Vao=",Y85),IF(B19="no","",""))</f>
        <v>Vz1 o Vao=141,035074263267-27,1441371979227i</v>
      </c>
      <c r="S2" s="209"/>
      <c r="T2" s="129" t="str">
        <f>IF(B19="si",CONCATENATE("Vz1 o Vao=",ROUND(AD85,3),"*e^",ROUND(AE85,3),"º*j"),"")</f>
        <v>Vz1 o Vao=143,623*e^-10,894º*j</v>
      </c>
      <c r="U2" s="57">
        <f>Q5*COS(RADIANS(R5))</f>
        <v>9.5262794416288266</v>
      </c>
      <c r="V2" s="57">
        <f>Q5*SIN(RADIANS(R5))</f>
        <v>5.4999999999999991</v>
      </c>
      <c r="W2" s="5"/>
      <c r="X2" s="5"/>
      <c r="Y2" s="5"/>
    </row>
    <row r="3" spans="1:25" ht="29.25" customHeight="1" x14ac:dyDescent="0.35">
      <c r="A3" s="33"/>
      <c r="E3" s="198" t="str">
        <f>IF(B2="directa",CONCATENATE("Vab= ",B5,"*e^30ºj"),IF(B2="indirecta",CONCATENATE("Vab=",B5,"*e^150ºj"),"coloque sec."))</f>
        <v>Vab=380*e^150ºj</v>
      </c>
      <c r="F3" s="199"/>
      <c r="G3" s="200"/>
      <c r="I3" s="201" t="str">
        <f>IF(B2="directa",CONCATENATE("Ebn=",P32,"*e^","240ºj"),IF(B2="indirecta",CONCATENATE("Ebn=",P32,"*e^","120ºj"),"coloque secuencia"))</f>
        <v>Ebn=219,39*e^120ºj</v>
      </c>
      <c r="J3" s="201"/>
      <c r="N3" s="33"/>
      <c r="O3" s="33"/>
      <c r="P3" s="43"/>
      <c r="Q3" s="43"/>
      <c r="R3" s="207" t="str">
        <f>IF(B2="directa",IF(B19="si",CONCATENATE("Vz2 o Vbo=",Y87),""),IF(B2="indirecta",IF(B19="si",CONCATENATE("Vz2 o Vbo=",Y86),IF(B19="no","",""))))</f>
        <v>Vz2 o Vbo=-188,049925736733+162,853176138345i</v>
      </c>
      <c r="S3" s="209"/>
      <c r="T3" s="129" t="str">
        <f>IF(B2="directa",IF(B19="si",CONCATENATE("Vz2 o Vbo=",ROUND(AD87,3),"*e^",ROUND(AE87,3),"*j"),""),IF(B2="indirecta",IF(B19="si",CONCATENATE("Vz2 o Vbo=",ROUND(AD86,3),"e^",ROUND(AE86,3),"*j"),IF(B19="no","",""))))</f>
        <v>Vz2 o Vbo=248,765e^139,107*j</v>
      </c>
      <c r="U3" s="57">
        <f>Q8*COS(RADIANS(R8))</f>
        <v>-2.7141704500803527</v>
      </c>
      <c r="V3" s="57">
        <f>Q8*SIN(RADIANS(R8))</f>
        <v>-14.10376683876045</v>
      </c>
      <c r="W3" s="5"/>
      <c r="X3" s="5"/>
      <c r="Y3" s="5"/>
    </row>
    <row r="4" spans="1:25" ht="27.75" customHeight="1" x14ac:dyDescent="0.35">
      <c r="E4" s="198" t="str">
        <f>IF(B2="directa",CONCATENATE("Vbc= ",B5,"*e^270ºj"),IF(B2="indirecta",CONCATENATE("Vbc=",B5,"*e^270ºj"),"coloque sec."))</f>
        <v>Vbc=380*e^270ºj</v>
      </c>
      <c r="F4" s="199"/>
      <c r="G4" s="200"/>
      <c r="I4" s="201" t="str">
        <f>IF(B2="directa",CONCATENATE("Ecn=",P32,"*e^","120ºj"),IF(B2="indirecta",CONCATENATE("Ecn=",P32,"*e^","240ºj"),"coloque secuencia"))</f>
        <v>Ecn=219,39*e^240ºj</v>
      </c>
      <c r="J4" s="201"/>
      <c r="N4" s="33"/>
      <c r="O4" s="33"/>
      <c r="P4" s="43"/>
      <c r="Q4" s="4">
        <f>Q5</f>
        <v>11</v>
      </c>
      <c r="R4" s="207" t="str">
        <f>IF(B2="directa",IF(B19="si",CONCATENATE("Vz3 o Vco=",Y86),""),IF(B2="indirecta",IF(B19="si",CONCATENATE("Vz3 o Vco=",Y87),IF(B19="no","",""))))</f>
        <v>Vz3 o Vco=-188,049925736733-217,141450534191i</v>
      </c>
      <c r="S4" s="209"/>
      <c r="T4" s="129" t="str">
        <f>IF(B2="directa",IF(B19="si",CONCATENATE("Vz3 o Vco=",ROUND(AD86,3),"*e^",ROUND(AE86,3),"*j"),""),IF(B2="indirecta",IF(B19="si",CONCATENATE("Vz3 o Vco=",ROUND(AD87,3),"e^",ROUND(AE87,3),"*j"),IF(B19="no","",""))))</f>
        <v>Vz3 o Vco=287,251e^-130,893*j</v>
      </c>
      <c r="U4" s="57">
        <f>Q12*COS(RADIANS(R12))</f>
        <v>-4.0714508822471123</v>
      </c>
      <c r="V4" s="57">
        <f>Q12*SIN(RADIANS(R12))</f>
        <v>11.753004576843031</v>
      </c>
      <c r="W4" s="5"/>
      <c r="X4" s="5"/>
      <c r="Y4" s="5"/>
    </row>
    <row r="5" spans="1:25" ht="18.75" x14ac:dyDescent="0.3">
      <c r="A5" s="52" t="s">
        <v>70</v>
      </c>
      <c r="B5" s="35">
        <v>380</v>
      </c>
      <c r="N5" s="210" t="s">
        <v>228</v>
      </c>
      <c r="O5" s="210"/>
      <c r="P5" s="43"/>
      <c r="Q5" s="119">
        <f>220/N6</f>
        <v>11</v>
      </c>
      <c r="R5" s="119">
        <f>0-(O6)</f>
        <v>30</v>
      </c>
      <c r="S5" s="43"/>
      <c r="T5" s="43"/>
      <c r="U5" s="43"/>
      <c r="V5" s="5"/>
      <c r="W5" s="5"/>
      <c r="X5" s="5"/>
      <c r="Y5" s="5"/>
    </row>
    <row r="6" spans="1:25" ht="23.25" customHeight="1" x14ac:dyDescent="0.35">
      <c r="A6" s="212"/>
      <c r="H6" s="191" t="s">
        <v>254</v>
      </c>
      <c r="I6" s="191"/>
      <c r="J6" s="191"/>
      <c r="K6" s="191"/>
      <c r="N6" s="30">
        <v>20</v>
      </c>
      <c r="O6" s="30">
        <v>-30</v>
      </c>
      <c r="P6" s="43"/>
      <c r="Q6" s="192" t="str">
        <f>CONCATENATE("Iz1 o Ia= ",ROUND(Q5,3),"*e^",R5,"º*j")</f>
        <v>Iz1 o Ia= 11*e^30º*j</v>
      </c>
      <c r="R6" s="192"/>
      <c r="S6" s="192"/>
      <c r="T6" s="192"/>
      <c r="U6" s="43"/>
      <c r="V6" s="192" t="str">
        <f>CONCATENATE("Iz1 o Ia =",ROUND(U2,3),IF(V2&gt;0,CONCATENATE("+",ROUND(V2,3)),ROUND(V2,3)),"*j")</f>
        <v>Iz1 o Ia =9,526+5,5*j</v>
      </c>
      <c r="W6" s="192"/>
      <c r="X6" s="192"/>
      <c r="Y6" s="192"/>
    </row>
    <row r="7" spans="1:25" x14ac:dyDescent="0.25">
      <c r="A7" s="212"/>
      <c r="H7" s="191"/>
      <c r="I7" s="191"/>
      <c r="J7" s="191"/>
      <c r="K7" s="191"/>
      <c r="N7" s="31"/>
      <c r="O7" s="31"/>
      <c r="P7" s="43"/>
      <c r="Q7" s="43"/>
      <c r="R7" s="43"/>
      <c r="S7" s="43"/>
      <c r="T7" s="43"/>
      <c r="U7" s="43"/>
      <c r="V7" s="43"/>
      <c r="W7" s="43"/>
    </row>
    <row r="8" spans="1:25" x14ac:dyDescent="0.25">
      <c r="A8" s="212"/>
      <c r="H8" s="191"/>
      <c r="I8" s="191"/>
      <c r="J8" s="191"/>
      <c r="K8" s="191"/>
      <c r="N8" s="31"/>
      <c r="O8" s="31"/>
      <c r="P8" s="43"/>
      <c r="Q8" s="119">
        <f>Q9</f>
        <v>14.362554099957581</v>
      </c>
      <c r="R8" s="119">
        <f>ROUND(R9,3)</f>
        <v>-100.893</v>
      </c>
      <c r="S8" s="43"/>
      <c r="T8" s="43"/>
      <c r="U8" s="43"/>
      <c r="V8" s="32"/>
      <c r="W8" s="32"/>
    </row>
    <row r="9" spans="1:25" ht="18.75" x14ac:dyDescent="0.3">
      <c r="A9" s="212"/>
      <c r="H9" s="191"/>
      <c r="I9" s="191"/>
      <c r="J9" s="191"/>
      <c r="K9" s="191"/>
      <c r="N9" s="216" t="s">
        <v>226</v>
      </c>
      <c r="O9" s="217"/>
      <c r="P9" s="43"/>
      <c r="Q9" s="119">
        <f>IF(B19="no",220/N10,IF(B2="directa",AD86/N10,AD87/N10))</f>
        <v>14.362554099957581</v>
      </c>
      <c r="R9" s="119">
        <f>IF(B19="no",IF(B2="directa",(120)-(O10),IF(B2="indirecta",(240)-(O10))),IF(B19="si",IF(B2="directa",AE86-O10,AE87-O10)))</f>
        <v>-100.89338158553383</v>
      </c>
      <c r="S9" s="43"/>
      <c r="T9" s="43"/>
      <c r="U9" s="43"/>
      <c r="V9" s="32"/>
      <c r="W9" s="32"/>
    </row>
    <row r="10" spans="1:25" x14ac:dyDescent="0.25">
      <c r="C10" s="27" t="s">
        <v>39</v>
      </c>
      <c r="F10" t="str">
        <f>IF(B2=""," ",IF(B2="directa","Ir",IF(B2="indirecta","Ir"," ")))</f>
        <v>Ir</v>
      </c>
      <c r="N10" s="30">
        <v>20</v>
      </c>
      <c r="O10" s="30">
        <v>-30</v>
      </c>
      <c r="P10" s="43"/>
      <c r="Q10" s="192" t="str">
        <f>CONCATENATE("Iz3 o Ic= ",ROUND(Q8,3),"*e^",R8,"º*j")</f>
        <v>Iz3 o Ic= 14,363*e^-100,893º*j</v>
      </c>
      <c r="R10" s="192"/>
      <c r="S10" s="192"/>
      <c r="T10" s="192"/>
      <c r="U10" s="43"/>
      <c r="V10" s="192" t="str">
        <f>CONCATENATE("Iz3 o Ic =",ROUND(U3,3),IF(V3&gt;0,CONCATENATE("+",ROUND(V3,3)),ROUND(V3,3)),"*j")</f>
        <v>Iz3 o Ic =-2,714-14,104*j</v>
      </c>
      <c r="W10" s="192"/>
      <c r="X10" s="192"/>
      <c r="Y10" s="192"/>
    </row>
    <row r="11" spans="1:25" x14ac:dyDescent="0.25">
      <c r="A11" s="40" t="s">
        <v>45</v>
      </c>
      <c r="B11" s="35" t="s">
        <v>51</v>
      </c>
      <c r="L11" t="s">
        <v>39</v>
      </c>
      <c r="N11" s="31"/>
      <c r="O11" s="32"/>
      <c r="P11" s="43"/>
      <c r="Q11" s="192"/>
      <c r="R11" s="192"/>
      <c r="S11" s="192"/>
      <c r="T11" s="192"/>
      <c r="U11" s="43"/>
      <c r="V11" s="192"/>
      <c r="W11" s="192"/>
      <c r="X11" s="192"/>
      <c r="Y11" s="192"/>
    </row>
    <row r="12" spans="1:25" ht="18.75" x14ac:dyDescent="0.3">
      <c r="A12" s="31"/>
      <c r="N12" s="210" t="s">
        <v>227</v>
      </c>
      <c r="O12" s="210"/>
      <c r="P12" s="43"/>
      <c r="Q12" s="119">
        <f>Q13</f>
        <v>12.438240585783989</v>
      </c>
      <c r="R12" s="119">
        <f>ROUND(R13,3)</f>
        <v>109.107</v>
      </c>
      <c r="S12" s="9"/>
      <c r="T12" s="43"/>
      <c r="U12" s="43"/>
      <c r="V12" s="43"/>
      <c r="W12" s="43"/>
    </row>
    <row r="13" spans="1:25" x14ac:dyDescent="0.25">
      <c r="N13" s="30">
        <v>20</v>
      </c>
      <c r="O13" s="42">
        <v>30</v>
      </c>
      <c r="P13" s="43"/>
      <c r="Q13" s="119">
        <f>IF(B19="no",220/N13,IF(B2="directa",AD87/N13,AD86/N13))</f>
        <v>12.438240585783989</v>
      </c>
      <c r="R13" s="119">
        <f>IF(B19="no",IF(B2="directa",(240)-(O13),IF(B2="indirecta",(120)-(O13))),IF(B19="si",IF(B2="directa",AE87-O13,AE86-O13)))</f>
        <v>109.10709924353355</v>
      </c>
      <c r="S13" s="9"/>
      <c r="T13" s="43"/>
      <c r="U13" s="43"/>
      <c r="V13" s="43"/>
      <c r="W13" s="43"/>
    </row>
    <row r="14" spans="1:25" x14ac:dyDescent="0.25">
      <c r="A14" s="40" t="s">
        <v>69</v>
      </c>
      <c r="B14" s="35" t="s">
        <v>51</v>
      </c>
      <c r="P14" s="43"/>
      <c r="Q14" s="192" t="str">
        <f>CONCATENATE("Iz2 o Ib= ",ROUND(Q12,3),"*e^",R12,"º*j")</f>
        <v>Iz2 o Ib= 12,438*e^109,107º*j</v>
      </c>
      <c r="R14" s="192"/>
      <c r="S14" s="192"/>
      <c r="T14" s="192"/>
      <c r="U14" s="43"/>
      <c r="V14" s="193" t="str">
        <f>CONCATENATE("Iz2 o Ib=",ROUND(U4,3),IF(V4&gt;0,CONCATENATE("+",ROUND(V4,3)),ROUND(V4,3)),"*j")</f>
        <v>Iz2 o Ib=-4,071+11,753*j</v>
      </c>
      <c r="W14" s="193"/>
      <c r="X14" s="193"/>
      <c r="Y14" s="193"/>
    </row>
    <row r="15" spans="1:25" x14ac:dyDescent="0.25">
      <c r="P15" s="43"/>
      <c r="Q15" s="192"/>
      <c r="R15" s="192"/>
      <c r="S15" s="192"/>
      <c r="T15" s="192"/>
      <c r="U15" s="43"/>
      <c r="V15" s="193"/>
      <c r="W15" s="193"/>
      <c r="X15" s="193"/>
      <c r="Y15" s="193"/>
    </row>
    <row r="16" spans="1:25" x14ac:dyDescent="0.25">
      <c r="K16" s="26"/>
      <c r="P16" s="43"/>
      <c r="Q16" s="43"/>
      <c r="R16" s="43"/>
      <c r="S16" s="43"/>
      <c r="T16" s="43"/>
      <c r="U16" s="43"/>
      <c r="V16" s="43"/>
      <c r="W16" s="43"/>
    </row>
    <row r="17" spans="1:48" x14ac:dyDescent="0.25">
      <c r="A17" s="40" t="s">
        <v>84</v>
      </c>
      <c r="B17" s="58"/>
      <c r="P17" s="43"/>
      <c r="Q17" s="43"/>
      <c r="R17" s="43"/>
      <c r="S17" s="43"/>
      <c r="T17" s="43"/>
      <c r="U17" s="43"/>
      <c r="V17" s="43"/>
      <c r="W17" s="43"/>
    </row>
    <row r="18" spans="1:48" x14ac:dyDescent="0.25">
      <c r="N18" s="213" t="s">
        <v>94</v>
      </c>
      <c r="O18" s="214"/>
      <c r="P18" s="43"/>
      <c r="Q18" s="43"/>
      <c r="R18" s="43"/>
      <c r="S18" s="43"/>
      <c r="T18" s="43"/>
      <c r="U18" s="43"/>
      <c r="V18" s="43"/>
      <c r="W18" s="43"/>
    </row>
    <row r="19" spans="1:48" x14ac:dyDescent="0.25">
      <c r="A19" s="40" t="s">
        <v>85</v>
      </c>
      <c r="B19" s="35" t="s">
        <v>51</v>
      </c>
      <c r="N19" s="59">
        <f>IF(A23="trifilar","infinito",IF(A23="tetrafilar",0,"elija un tipo de sistema"))</f>
        <v>0</v>
      </c>
      <c r="O19" s="59">
        <f>IF(A23="trifilar","infinito",IF(A23="tetrafilar",0,"elija un tipo de sistema"))</f>
        <v>0</v>
      </c>
      <c r="P19" s="43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48" x14ac:dyDescent="0.25">
      <c r="A20" s="5"/>
      <c r="P20" s="43"/>
      <c r="Q20" s="9"/>
      <c r="R20" s="9"/>
      <c r="S20" s="9" t="s">
        <v>236</v>
      </c>
      <c r="T20" s="9" t="s">
        <v>238</v>
      </c>
      <c r="U20" s="9" t="s">
        <v>239</v>
      </c>
      <c r="V20" s="9"/>
      <c r="W20" s="9"/>
      <c r="X20" s="9"/>
      <c r="Y20" s="9"/>
      <c r="Z20" s="9"/>
    </row>
    <row r="21" spans="1:48" x14ac:dyDescent="0.25">
      <c r="A21" s="5"/>
      <c r="B21" s="51" t="str">
        <f>IF(B2="directa","c",IF(B2="indirecta","b",""))</f>
        <v>b</v>
      </c>
      <c r="E21" s="28" t="str">
        <f>IF(B2="directa","b",IF(B2="indirecta","c",""))</f>
        <v>c</v>
      </c>
      <c r="F21" s="29" t="str">
        <f>IF(B2=""," ",IF(B2="directa","Is",IF(B2="indirecta","It"," ")))</f>
        <v>It</v>
      </c>
      <c r="K21" t="s">
        <v>206</v>
      </c>
      <c r="M21" t="s">
        <v>207</v>
      </c>
      <c r="P21" s="120"/>
      <c r="Q21" s="9"/>
      <c r="R21" s="9" t="s">
        <v>237</v>
      </c>
      <c r="S21" s="9"/>
      <c r="T21" s="9">
        <f>ROUND(AD85,3)</f>
        <v>143.62299999999999</v>
      </c>
      <c r="U21" s="9">
        <f>+T21</f>
        <v>143.62299999999999</v>
      </c>
      <c r="V21" s="9"/>
      <c r="W21" s="9"/>
      <c r="X21" s="9"/>
      <c r="Y21" s="9"/>
      <c r="Z21" s="9"/>
    </row>
    <row r="22" spans="1:48" x14ac:dyDescent="0.25">
      <c r="A22" s="5"/>
      <c r="B22" t="str">
        <f>IF(B2=""," ",IF(B2="directa","It",IF(B2="indirecta","Is"," ")))</f>
        <v>Is</v>
      </c>
      <c r="P22" s="43"/>
      <c r="Q22" s="9"/>
      <c r="R22" s="9" t="s">
        <v>240</v>
      </c>
      <c r="S22" s="9"/>
      <c r="T22" s="9"/>
      <c r="U22" s="9"/>
      <c r="V22" s="9"/>
      <c r="W22" s="9"/>
      <c r="X22" s="9"/>
      <c r="Y22" s="9"/>
      <c r="Z22" s="9"/>
    </row>
    <row r="23" spans="1:48" x14ac:dyDescent="0.25">
      <c r="A23" s="9" t="s">
        <v>247</v>
      </c>
      <c r="O23" s="5"/>
      <c r="P23" s="43"/>
      <c r="Q23" s="9"/>
      <c r="R23" s="9" t="s">
        <v>241</v>
      </c>
      <c r="S23" s="9"/>
      <c r="T23" s="9"/>
      <c r="U23" s="9"/>
      <c r="V23" s="9"/>
      <c r="W23" s="9"/>
      <c r="X23" s="9"/>
      <c r="Y23" s="9"/>
      <c r="Z23" s="9"/>
    </row>
    <row r="24" spans="1:48" x14ac:dyDescent="0.25">
      <c r="A24" s="5"/>
      <c r="P24" s="43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48" x14ac:dyDescent="0.25">
      <c r="A25" s="5"/>
      <c r="P25" s="43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48" x14ac:dyDescent="0.25">
      <c r="A26" s="5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48" x14ac:dyDescent="0.25">
      <c r="A27" s="211" t="s">
        <v>46</v>
      </c>
      <c r="B27" s="211"/>
      <c r="C27" s="211"/>
      <c r="D27" s="211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48" x14ac:dyDescent="0.25">
      <c r="A28" s="211"/>
      <c r="B28" s="211"/>
      <c r="C28" s="211"/>
      <c r="D28" s="211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48" x14ac:dyDescent="0.25">
      <c r="L29" s="9" t="s">
        <v>194</v>
      </c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134"/>
      <c r="AH29" s="134"/>
      <c r="AI29" s="134"/>
      <c r="AJ29" s="134"/>
      <c r="AK29" s="134"/>
      <c r="AL29" s="134"/>
      <c r="AM29" s="134"/>
      <c r="AN29" s="134"/>
    </row>
    <row r="30" spans="1:48" x14ac:dyDescent="0.25">
      <c r="K30" s="5"/>
      <c r="L30" s="196" t="s">
        <v>58</v>
      </c>
      <c r="M30" s="196"/>
      <c r="N30" s="196"/>
      <c r="O30" s="196"/>
      <c r="P30" s="196"/>
      <c r="Q30" s="4"/>
      <c r="R30" s="4"/>
      <c r="S30" s="4"/>
      <c r="T30" s="4"/>
      <c r="U30" s="4"/>
      <c r="V30" s="4"/>
      <c r="W30" s="4"/>
      <c r="X30" s="9"/>
      <c r="Y30" s="9"/>
      <c r="Z30" s="9"/>
      <c r="AA30" s="9"/>
      <c r="AB30" s="9"/>
      <c r="AC30" s="9"/>
      <c r="AD30" s="9"/>
      <c r="AE30" s="9"/>
      <c r="AF30" s="9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9"/>
      <c r="AR30" s="9"/>
      <c r="AS30" s="9"/>
      <c r="AT30" s="9"/>
      <c r="AU30" s="5"/>
      <c r="AV30" s="5"/>
    </row>
    <row r="31" spans="1:48" ht="21" x14ac:dyDescent="0.35">
      <c r="A31" s="37" t="s">
        <v>47</v>
      </c>
      <c r="B31" s="36"/>
      <c r="C31" s="36"/>
      <c r="F31" s="215" t="s">
        <v>59</v>
      </c>
      <c r="G31" s="215"/>
      <c r="H31" s="41"/>
      <c r="I31" s="215" t="s">
        <v>60</v>
      </c>
      <c r="J31" s="215"/>
      <c r="K31" s="5"/>
      <c r="L31" s="4"/>
      <c r="M31" s="4"/>
      <c r="N31" s="4"/>
      <c r="O31" s="4"/>
      <c r="P31" s="4" t="s">
        <v>95</v>
      </c>
      <c r="Q31" s="4"/>
      <c r="R31" s="4"/>
      <c r="S31" s="4"/>
      <c r="T31" s="4"/>
      <c r="U31" s="4"/>
      <c r="V31" s="4"/>
      <c r="W31" s="4"/>
      <c r="X31" s="9"/>
      <c r="Y31" s="9"/>
      <c r="Z31" s="9"/>
      <c r="AA31" s="9"/>
      <c r="AB31" s="9"/>
      <c r="AC31" s="9"/>
      <c r="AD31" s="9"/>
      <c r="AE31" s="9"/>
      <c r="AF31" s="9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9"/>
      <c r="AR31" s="9"/>
      <c r="AS31" s="9"/>
      <c r="AT31" s="9"/>
      <c r="AU31" s="5"/>
      <c r="AV31" s="5"/>
    </row>
    <row r="32" spans="1:48" ht="23.25" x14ac:dyDescent="0.35">
      <c r="A32" s="38" t="s">
        <v>48</v>
      </c>
      <c r="E32" s="41"/>
      <c r="F32" s="202" t="str">
        <f>CONCATENATE("Pz1= ",T33,"W")</f>
        <v>Pz1= 1368,193W</v>
      </c>
      <c r="G32" s="202"/>
      <c r="I32" s="197" t="str">
        <f>CONCATENATE("Ptrif.=",T36,"W")</f>
        <v>Ptrif.=7310,922W</v>
      </c>
      <c r="J32" s="197"/>
      <c r="K32" s="5"/>
      <c r="L32" s="196" t="s">
        <v>52</v>
      </c>
      <c r="M32" s="196"/>
      <c r="N32" s="196" t="s">
        <v>53</v>
      </c>
      <c r="O32" s="196"/>
      <c r="P32" s="4">
        <f>ROUND(B5/SQRT(3),2)</f>
        <v>219.39</v>
      </c>
      <c r="Q32" s="4"/>
      <c r="R32" s="4" t="s">
        <v>64</v>
      </c>
      <c r="S32" s="4"/>
      <c r="T32" s="196" t="s">
        <v>65</v>
      </c>
      <c r="U32" s="196"/>
      <c r="V32" s="4"/>
      <c r="W32" s="4" t="s">
        <v>66</v>
      </c>
      <c r="X32" s="9"/>
      <c r="Y32" s="9" t="s">
        <v>68</v>
      </c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43"/>
      <c r="AN32" s="43"/>
      <c r="AO32" s="43"/>
      <c r="AP32" s="43"/>
      <c r="AQ32" s="9"/>
      <c r="AR32" s="9"/>
      <c r="AS32" s="9"/>
      <c r="AT32" s="9"/>
      <c r="AU32" s="5"/>
      <c r="AV32" s="5"/>
    </row>
    <row r="33" spans="1:48" ht="23.25" x14ac:dyDescent="0.35">
      <c r="A33" s="39" t="str">
        <f>CONCATENATE("Ir= ",Q6)</f>
        <v>Ir= Iz1 o Ia= 11*e^30º*j</v>
      </c>
      <c r="F33" s="202" t="str">
        <f>CONCATENATE("Pz2= ",T34,"W")</f>
        <v>Pz2= 2369,803W</v>
      </c>
      <c r="G33" s="202"/>
      <c r="K33" s="5"/>
      <c r="L33" s="4">
        <f>220/N6</f>
        <v>11</v>
      </c>
      <c r="M33" s="4">
        <f>0-(O6)</f>
        <v>30</v>
      </c>
      <c r="N33" s="4" t="s">
        <v>54</v>
      </c>
      <c r="O33" s="4" t="s">
        <v>55</v>
      </c>
      <c r="P33" s="4"/>
      <c r="Q33" s="4"/>
      <c r="R33" s="4">
        <f>IF(B19="no",P32*Q5*COS(RADIANS(O6)),T21*Q5*COS(RADIANS(O6)))</f>
        <v>1368.1928322450567</v>
      </c>
      <c r="S33" s="4" t="s">
        <v>61</v>
      </c>
      <c r="T33" s="4">
        <f>ROUND(R33,3)</f>
        <v>1368.193</v>
      </c>
      <c r="U33" s="4"/>
      <c r="V33" s="4">
        <f>IF(B19="no",P32*Q5*SIN(RADIANS(O6)),T21*Q5*SIN(RADIANS(O6)))</f>
        <v>-789.92649999999981</v>
      </c>
      <c r="W33" s="4">
        <f>ROUND(V33,3)</f>
        <v>-789.92700000000002</v>
      </c>
      <c r="X33" s="9"/>
      <c r="Y33" s="9">
        <f>ROUND(SQRT((R33*R33)+(V33*V33)),3)</f>
        <v>1579.8530000000001</v>
      </c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43"/>
      <c r="AN33" s="43"/>
      <c r="AO33" s="43"/>
      <c r="AP33" s="43"/>
      <c r="AQ33" s="9"/>
      <c r="AR33" s="9"/>
      <c r="AS33" s="9"/>
      <c r="AT33" s="9"/>
      <c r="AU33" s="5"/>
      <c r="AV33" s="5"/>
    </row>
    <row r="34" spans="1:48" ht="27.75" customHeight="1" x14ac:dyDescent="0.35">
      <c r="F34" s="192" t="str">
        <f>CONCATENATE("Pz3= ",T35,"W")</f>
        <v>Pz3= 3572,926W</v>
      </c>
      <c r="G34" s="192"/>
      <c r="I34" s="197" t="str">
        <f>CONCATENATE("Qtrif.=",W36,"VAR")</f>
        <v>Qtrif.=-1484,551VAR</v>
      </c>
      <c r="J34" s="197"/>
      <c r="K34" s="43"/>
      <c r="L34" s="4">
        <f>ROUND(L33,3)</f>
        <v>11</v>
      </c>
      <c r="M34" s="4">
        <f>ROUND(M33,3)</f>
        <v>30</v>
      </c>
      <c r="N34" s="4">
        <f>L33*COS(RADIANS(M33))</f>
        <v>9.5262794416288266</v>
      </c>
      <c r="O34" s="4">
        <f>L33*SIN(RADIANS(M33))</f>
        <v>5.4999999999999991</v>
      </c>
      <c r="P34" s="4"/>
      <c r="Q34" s="4"/>
      <c r="R34" s="4">
        <f>IF(B19="no",P32*Q13*COS(RADIANS(O13)),IF(B2="directa",AD87*Q5*COS(RADIANS(O13)),AD86*Q5*COS(RADIANS(O13))))</f>
        <v>2369.8031116477459</v>
      </c>
      <c r="S34" s="4" t="s">
        <v>62</v>
      </c>
      <c r="T34" s="4">
        <f t="shared" ref="T34:T35" si="0">ROUND(R34,3)</f>
        <v>2369.8029999999999</v>
      </c>
      <c r="U34" s="4"/>
      <c r="V34" s="4">
        <f>IF(B19="no",P32*Q13*SIN(RADIANS(O13)),IF(B2="directa",AD87*Q5*SIN(RADIANS(O13)),AD86*Q5*SIN(RADIANS(O13))))</f>
        <v>1368.2064644362385</v>
      </c>
      <c r="W34" s="4">
        <f t="shared" ref="W34:W35" si="1">ROUND(V34,3)</f>
        <v>1368.2059999999999</v>
      </c>
      <c r="X34" s="9"/>
      <c r="Y34" s="9">
        <f t="shared" ref="Y34:Y35" si="2">ROUND(SQRT((R34*R34)+(V34*V34)),3)</f>
        <v>2736.413</v>
      </c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5"/>
      <c r="AN34" s="5"/>
      <c r="AO34" s="5"/>
      <c r="AP34" s="5"/>
      <c r="AQ34" s="5"/>
      <c r="AR34" s="5"/>
      <c r="AS34" s="9"/>
      <c r="AT34" s="9"/>
      <c r="AU34" s="5"/>
      <c r="AV34" s="5"/>
    </row>
    <row r="35" spans="1:48" ht="23.25" x14ac:dyDescent="0.25">
      <c r="A35" s="38" t="s">
        <v>50</v>
      </c>
      <c r="K35" s="43"/>
      <c r="L35" s="4"/>
      <c r="M35" s="4"/>
      <c r="N35" s="4" t="str">
        <f>COMPLEX(N34,O34)</f>
        <v>9,52627944162883+5,5i</v>
      </c>
      <c r="O35" s="4"/>
      <c r="P35" s="4"/>
      <c r="Q35" s="4"/>
      <c r="R35" s="4">
        <f>IF(B19="no",P32*Q9*COS(RADIANS(O10)),IF(B2="directa",AD86*Q9*COS(RADIANS(O10)),AD87*Q9*COS(RADIANS(O10))))</f>
        <v>3572.9256793064119</v>
      </c>
      <c r="S35" s="4" t="s">
        <v>63</v>
      </c>
      <c r="T35" s="4">
        <f t="shared" si="0"/>
        <v>3572.9259999999999</v>
      </c>
      <c r="U35" s="4"/>
      <c r="V35" s="4">
        <f>IF(B19="no",P32*Q9*SIN(RADIANS(O10)),IF(B2="directa",AD86*Q9*SIN(RADIANS(O10)),AD87*Q9*SIN(RADIANS(O10))))</f>
        <v>-2062.8296027420829</v>
      </c>
      <c r="W35" s="4">
        <f t="shared" si="1"/>
        <v>-2062.83</v>
      </c>
      <c r="X35" s="9"/>
      <c r="Y35" s="9">
        <f t="shared" si="2"/>
        <v>4125.6589999999997</v>
      </c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5"/>
      <c r="AN35" s="5"/>
      <c r="AO35" s="5"/>
      <c r="AP35" s="5"/>
      <c r="AQ35" s="5"/>
      <c r="AR35" s="5"/>
      <c r="AS35" s="9"/>
      <c r="AT35" s="9"/>
      <c r="AU35" s="5"/>
      <c r="AV35" s="5"/>
    </row>
    <row r="36" spans="1:48" ht="22.5" customHeight="1" x14ac:dyDescent="0.35">
      <c r="A36" s="39" t="str">
        <f>CONCATENATE("Is=",IF(B2="directa",Q10,Q14))</f>
        <v>Is=Iz2 o Ib= 12,438*e^109,107º*j</v>
      </c>
      <c r="F36" s="202" t="str">
        <f>CONCATENATE("Qz1= ",W33,"VAR")</f>
        <v>Qz1= -789,927VAR</v>
      </c>
      <c r="G36" s="202"/>
      <c r="I36" s="197" t="str">
        <f>CONCATENATE("Strif.=",ROUND(SQRT((T36*T36)+(W36*W36)),3),"VA")</f>
        <v>Strif.=7460,125VA</v>
      </c>
      <c r="J36" s="197"/>
      <c r="K36" s="43"/>
      <c r="L36" s="4">
        <f>IF(B22="Is",P32/N13,IF(F21="Is",P32/N10,""))</f>
        <v>10.9695</v>
      </c>
      <c r="M36" s="4">
        <f>IF(B22="Is",120-O13,IF(F21="Is",240-O10,""))</f>
        <v>90</v>
      </c>
      <c r="N36" s="4"/>
      <c r="O36" s="4"/>
      <c r="P36" s="4"/>
      <c r="Q36" s="4" t="s">
        <v>67</v>
      </c>
      <c r="R36" s="4"/>
      <c r="S36" s="4"/>
      <c r="T36" s="4">
        <f>ROUND(SUM(T33:T35),3)</f>
        <v>7310.9219999999996</v>
      </c>
      <c r="U36" s="4"/>
      <c r="V36" s="4"/>
      <c r="W36" s="4">
        <f>ROUND(SUM(W33:W35),3)</f>
        <v>-1484.5509999999999</v>
      </c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5"/>
      <c r="AN36" s="5"/>
      <c r="AO36" s="5"/>
      <c r="AP36" s="5"/>
      <c r="AQ36" s="5"/>
      <c r="AR36" s="5"/>
      <c r="AS36" s="9"/>
      <c r="AT36" s="9"/>
      <c r="AU36" s="5"/>
      <c r="AV36" s="5"/>
    </row>
    <row r="37" spans="1:48" ht="27" customHeight="1" x14ac:dyDescent="0.35">
      <c r="F37" s="202" t="str">
        <f>CONCATENATE("Qz2= ",W34,"VAR")</f>
        <v>Qz2= 1368,206VAR</v>
      </c>
      <c r="G37" s="202"/>
      <c r="K37" s="9"/>
      <c r="L37" s="4">
        <f>ROUND(L36,3)</f>
        <v>10.97</v>
      </c>
      <c r="M37" s="4">
        <f>ROUND(M36,3)</f>
        <v>90</v>
      </c>
      <c r="N37" s="4">
        <f>L36*COS(RADIANS(M36))</f>
        <v>6.7196329880600535E-16</v>
      </c>
      <c r="O37" s="4">
        <f>L36*SIN(RADIANS(M36))</f>
        <v>10.9695</v>
      </c>
      <c r="P37" s="4"/>
      <c r="Q37" s="4"/>
      <c r="R37" s="4"/>
      <c r="S37" s="4"/>
      <c r="T37" s="4"/>
      <c r="U37" s="4"/>
      <c r="V37" s="4"/>
      <c r="W37" s="4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5"/>
      <c r="AN37" s="5"/>
      <c r="AO37" s="5"/>
      <c r="AP37" s="5"/>
      <c r="AQ37" s="5"/>
      <c r="AR37" s="5"/>
      <c r="AS37" s="9"/>
      <c r="AT37" s="9"/>
      <c r="AU37" s="5"/>
      <c r="AV37" s="5"/>
    </row>
    <row r="38" spans="1:48" ht="23.25" x14ac:dyDescent="0.35">
      <c r="A38" s="38" t="s">
        <v>49</v>
      </c>
      <c r="F38" s="202" t="str">
        <f>CONCATENATE("Qz3= ",W35,"VAR")</f>
        <v>Qz3= -2062,83VAR</v>
      </c>
      <c r="G38" s="202"/>
      <c r="K38" s="9"/>
      <c r="L38" s="4"/>
      <c r="M38" s="4"/>
      <c r="N38" s="4" t="str">
        <f>COMPLEX(N37,O37)</f>
        <v>6,71963298806005E-16+10,9695i</v>
      </c>
      <c r="O38" s="4"/>
      <c r="P38" s="4"/>
      <c r="Q38" s="4"/>
      <c r="R38" s="4"/>
      <c r="S38" s="4"/>
      <c r="T38" s="4"/>
      <c r="U38" s="4"/>
      <c r="V38" s="4"/>
      <c r="W38" s="4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5"/>
      <c r="AN38" s="5"/>
      <c r="AO38" s="5"/>
      <c r="AP38" s="5"/>
      <c r="AQ38" s="5"/>
      <c r="AR38" s="5"/>
      <c r="AS38" s="9"/>
      <c r="AT38" s="9"/>
      <c r="AU38" s="5"/>
      <c r="AV38" s="5"/>
    </row>
    <row r="39" spans="1:48" ht="23.25" x14ac:dyDescent="0.35">
      <c r="A39" s="39" t="str">
        <f>CONCATENATE("It=",IF(B2="directa",Q14,Q10))</f>
        <v>It=Iz3 o Ic= 14,363*e^-100,893º*j</v>
      </c>
      <c r="K39" s="9"/>
      <c r="L39" s="57">
        <f>IF(B22="it",P32/N13,IF(F21="it",P32/N10,""))</f>
        <v>10.9695</v>
      </c>
      <c r="M39" s="57">
        <f>IF(B22="it",120-O13,IF(F21="it",240-O10,""))</f>
        <v>270</v>
      </c>
      <c r="N39" s="57"/>
      <c r="O39" s="57"/>
      <c r="P39" s="57"/>
      <c r="Q39" s="57"/>
      <c r="R39" s="57"/>
      <c r="S39" s="57"/>
      <c r="T39" s="4"/>
      <c r="U39" s="4"/>
      <c r="V39" s="4"/>
      <c r="W39" s="4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5"/>
      <c r="AN39" s="5"/>
      <c r="AO39" s="5"/>
      <c r="AP39" s="5"/>
      <c r="AQ39" s="5"/>
      <c r="AR39" s="5"/>
      <c r="AS39" s="9"/>
      <c r="AT39" s="9"/>
      <c r="AU39" s="5"/>
      <c r="AV39" s="5"/>
    </row>
    <row r="40" spans="1:48" x14ac:dyDescent="0.25">
      <c r="J40" s="57"/>
      <c r="K40" s="57"/>
      <c r="L40" s="57">
        <f>ROUND(L39,3)</f>
        <v>10.97</v>
      </c>
      <c r="M40" s="57">
        <f>ROUND(M39,3)</f>
        <v>270</v>
      </c>
      <c r="N40" s="57">
        <f>L39*COS(RADIANS(M39))</f>
        <v>-2.0158898964180163E-15</v>
      </c>
      <c r="O40" s="57">
        <f>L39*SIN(RADIANS(M39))</f>
        <v>-10.9695</v>
      </c>
      <c r="P40" s="57"/>
      <c r="Q40" s="57"/>
      <c r="R40" s="57"/>
      <c r="S40" s="57"/>
      <c r="T40" s="57"/>
      <c r="U40" s="57"/>
      <c r="V40" s="57"/>
      <c r="W40" s="57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5"/>
      <c r="AN40" s="5"/>
      <c r="AO40" s="5"/>
      <c r="AP40" s="5"/>
      <c r="AQ40" s="5"/>
      <c r="AR40" s="5"/>
      <c r="AS40" s="9"/>
      <c r="AT40" s="9"/>
      <c r="AU40" s="5"/>
      <c r="AV40" s="5"/>
    </row>
    <row r="41" spans="1:48" ht="23.25" x14ac:dyDescent="0.35">
      <c r="F41" s="203" t="str">
        <f>CONCATENATE("Sz1= ",Y33,"VA")</f>
        <v>Sz1= 1579,853VA</v>
      </c>
      <c r="G41" s="203"/>
      <c r="J41" s="57"/>
      <c r="K41" s="57"/>
      <c r="L41" s="57"/>
      <c r="M41" s="57"/>
      <c r="N41" s="57" t="str">
        <f>COMPLEX(N40,O40)</f>
        <v>-2,01588989641802E-15-10,9695i</v>
      </c>
      <c r="O41" s="57"/>
      <c r="P41" s="57"/>
      <c r="Q41" s="57"/>
      <c r="R41" s="57"/>
      <c r="S41" s="57"/>
      <c r="T41" s="57"/>
      <c r="U41" s="57"/>
      <c r="V41" s="57"/>
      <c r="W41" s="57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5"/>
      <c r="AN41" s="5"/>
      <c r="AO41" s="5"/>
      <c r="AP41" s="5"/>
      <c r="AQ41" s="5"/>
      <c r="AR41" s="5"/>
      <c r="AS41" s="9"/>
      <c r="AT41" s="9"/>
      <c r="AU41" s="5"/>
      <c r="AV41" s="5"/>
    </row>
    <row r="42" spans="1:48" ht="23.25" x14ac:dyDescent="0.35">
      <c r="A42" s="38" t="s">
        <v>44</v>
      </c>
      <c r="F42" s="203" t="str">
        <f>CONCATENATE("Sz2= ",Y34,"VA")</f>
        <v>Sz2= 2736,413VA</v>
      </c>
      <c r="G42" s="203"/>
      <c r="J42" s="57"/>
      <c r="K42" s="57"/>
      <c r="L42" s="57"/>
      <c r="M42" s="57"/>
      <c r="N42" s="57" t="s">
        <v>56</v>
      </c>
      <c r="O42" s="57" t="s">
        <v>57</v>
      </c>
      <c r="P42" s="57"/>
      <c r="Q42" s="57"/>
      <c r="R42" s="57"/>
      <c r="S42" s="57"/>
      <c r="T42" s="57"/>
      <c r="U42" s="57"/>
      <c r="V42" s="57"/>
      <c r="W42" s="57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5"/>
      <c r="AN42" s="5"/>
      <c r="AO42" s="5"/>
      <c r="AP42" s="5"/>
      <c r="AQ42" s="5"/>
      <c r="AR42" s="5"/>
      <c r="AS42" s="9"/>
      <c r="AT42" s="9"/>
      <c r="AU42" s="5"/>
      <c r="AV42" s="5"/>
    </row>
    <row r="43" spans="1:48" ht="36" customHeight="1" x14ac:dyDescent="0.35">
      <c r="A43" s="144">
        <f>IF(B14="si",0,CONCATENATE("In=",ROUND(Q46,3),"e^",ROUND(R46,3),"º*j"))</f>
        <v>0</v>
      </c>
      <c r="F43" s="203" t="str">
        <f>CONCATENATE("Sz3= ",Y35,"VA")</f>
        <v>Sz3= 4125,659VA</v>
      </c>
      <c r="G43" s="203"/>
      <c r="J43" s="57"/>
      <c r="K43" s="57"/>
      <c r="L43" s="57"/>
      <c r="M43" s="57"/>
      <c r="N43" s="57">
        <f>+N34+N37+N40</f>
        <v>9.5262794416288248</v>
      </c>
      <c r="O43" s="57">
        <f>+O34+O37+O40</f>
        <v>5.5</v>
      </c>
      <c r="P43" s="57"/>
      <c r="Q43" s="57" t="s">
        <v>222</v>
      </c>
      <c r="R43" s="57"/>
      <c r="S43" s="57"/>
      <c r="T43" s="57"/>
      <c r="U43" s="57"/>
      <c r="V43" s="57"/>
      <c r="W43" s="57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5"/>
      <c r="AN43" s="5"/>
      <c r="AO43" s="5"/>
      <c r="AP43" s="5"/>
      <c r="AQ43" s="5"/>
      <c r="AR43" s="5"/>
      <c r="AS43" s="9"/>
      <c r="AT43" s="9"/>
      <c r="AU43" s="5"/>
      <c r="AV43" s="5"/>
    </row>
    <row r="44" spans="1:48" ht="51.75" customHeight="1" x14ac:dyDescent="0.35">
      <c r="A44" s="148">
        <f>IF(B14="si",0,CONCATENATE("In= ",Q44))</f>
        <v>0</v>
      </c>
      <c r="G44" s="9"/>
      <c r="H44" s="9"/>
      <c r="I44" s="9" t="s">
        <v>90</v>
      </c>
      <c r="J44" s="57" t="s">
        <v>91</v>
      </c>
      <c r="K44" s="57" t="s">
        <v>100</v>
      </c>
      <c r="L44" s="57" t="s">
        <v>101</v>
      </c>
      <c r="M44" s="57"/>
      <c r="N44" s="57">
        <f>SQRT((N43*N43)+(O43*O43))</f>
        <v>11</v>
      </c>
      <c r="O44" s="57">
        <f>IF(N43=0,0,ATAN(O43/N43)*180/PI())</f>
        <v>29.999999999999996</v>
      </c>
      <c r="P44" s="57"/>
      <c r="Q44" s="57" t="str">
        <f>IMSUM(N35,N38,N41)</f>
        <v>9,52627944162883+5,5i</v>
      </c>
      <c r="R44" s="57"/>
      <c r="S44" s="57"/>
      <c r="T44" s="57"/>
      <c r="U44" s="57"/>
      <c r="V44" s="57"/>
      <c r="W44" s="57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5"/>
      <c r="AN44" s="5"/>
      <c r="AO44" s="5"/>
      <c r="AP44" s="5"/>
      <c r="AQ44" s="5"/>
      <c r="AR44" s="5"/>
      <c r="AS44" s="9"/>
      <c r="AT44" s="9"/>
      <c r="AU44" s="5"/>
      <c r="AV44" s="5"/>
    </row>
    <row r="45" spans="1:48" x14ac:dyDescent="0.25">
      <c r="G45" s="9"/>
      <c r="H45" s="9" t="s">
        <v>96</v>
      </c>
      <c r="I45" s="9">
        <f>IF(B2="directa",P32,IF(B2="indirecta",P32,"coloque secuencia"))</f>
        <v>219.39</v>
      </c>
      <c r="J45" s="57">
        <f>IF(B2="directa",0,IF(B2="indirecta",0,"coloque secuencia"))</f>
        <v>0</v>
      </c>
      <c r="K45" s="57">
        <f>I45*COS(RADIANS(J45))</f>
        <v>219.39</v>
      </c>
      <c r="L45" s="57">
        <f>I45*SIN(RADIANS(J45))</f>
        <v>0</v>
      </c>
      <c r="M45" s="57"/>
      <c r="N45" s="57">
        <f>ROUND(N44,3)</f>
        <v>11</v>
      </c>
      <c r="O45" s="57">
        <f>ROUND(O44,3)</f>
        <v>30</v>
      </c>
      <c r="P45" s="57"/>
      <c r="Q45" s="57" t="s">
        <v>90</v>
      </c>
      <c r="R45" s="57" t="s">
        <v>91</v>
      </c>
      <c r="S45" s="57"/>
      <c r="T45" s="57"/>
      <c r="U45" s="57"/>
      <c r="V45" s="57"/>
      <c r="W45" s="57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5"/>
      <c r="AN45" s="5"/>
      <c r="AO45" s="5"/>
      <c r="AP45" s="5"/>
      <c r="AQ45" s="5"/>
      <c r="AR45" s="5"/>
      <c r="AS45" s="9"/>
      <c r="AT45" s="9"/>
      <c r="AU45" s="5"/>
      <c r="AV45" s="5"/>
    </row>
    <row r="46" spans="1:48" x14ac:dyDescent="0.25">
      <c r="G46" s="9"/>
      <c r="H46" s="9" t="s">
        <v>97</v>
      </c>
      <c r="I46" s="9">
        <f>IF(B2="directa",P32,IF(B2="indirecta",P32,"coloque secuencia"))</f>
        <v>219.39</v>
      </c>
      <c r="J46" s="57">
        <f>IF(B2="directa",240,IF(B2="indirecta",120,"coloque secuencia"))</f>
        <v>120</v>
      </c>
      <c r="K46" s="57">
        <f t="shared" ref="K46:K47" si="3">I46*COS(RADIANS(J46))</f>
        <v>-109.69499999999995</v>
      </c>
      <c r="L46" s="57">
        <f t="shared" ref="L46:L47" si="4">I46*SIN(RADIANS(J46))</f>
        <v>189.99731333626801</v>
      </c>
      <c r="M46" s="57"/>
      <c r="N46" s="57"/>
      <c r="O46" s="57"/>
      <c r="P46" s="57"/>
      <c r="Q46" s="57">
        <f>IMABS(Q44)</f>
        <v>11.000000000000005</v>
      </c>
      <c r="R46" s="57">
        <f>DEGREES(IMARGUMENT(Q44))</f>
        <v>29.999999999999993</v>
      </c>
      <c r="S46" s="57"/>
      <c r="T46" s="57"/>
      <c r="U46" s="57"/>
      <c r="V46" s="57"/>
      <c r="W46" s="57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5"/>
      <c r="AN46" s="5"/>
      <c r="AO46" s="5"/>
      <c r="AP46" s="5"/>
      <c r="AQ46" s="5"/>
      <c r="AR46" s="5"/>
      <c r="AS46" s="9"/>
      <c r="AT46" s="9"/>
      <c r="AU46" s="5"/>
      <c r="AV46" s="5"/>
    </row>
    <row r="47" spans="1:48" x14ac:dyDescent="0.25">
      <c r="G47" s="9"/>
      <c r="H47" s="9" t="s">
        <v>98</v>
      </c>
      <c r="I47" s="9">
        <f>IF(B2="directa",P32,IF(B2="indirecta",P32,"coloque secuencia"))</f>
        <v>219.39</v>
      </c>
      <c r="J47" s="57">
        <f>IF(B2="directa",120,IF(B2="indirecta",240,"coloque secuencia"))</f>
        <v>240</v>
      </c>
      <c r="K47" s="57">
        <f t="shared" si="3"/>
        <v>-109.69500000000009</v>
      </c>
      <c r="L47" s="57">
        <f t="shared" si="4"/>
        <v>-189.99731333626792</v>
      </c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5"/>
      <c r="AN47" s="5"/>
      <c r="AO47" s="5"/>
      <c r="AP47" s="5"/>
      <c r="AQ47" s="5"/>
      <c r="AR47" s="5"/>
      <c r="AS47" s="9"/>
      <c r="AT47" s="9"/>
      <c r="AU47" s="5"/>
      <c r="AV47" s="5"/>
    </row>
    <row r="48" spans="1:48" x14ac:dyDescent="0.25">
      <c r="G48" s="9"/>
      <c r="H48" s="9"/>
      <c r="I48" s="9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5"/>
      <c r="AN48" s="5"/>
      <c r="AO48" s="5"/>
      <c r="AP48" s="5"/>
      <c r="AQ48" s="5"/>
      <c r="AR48" s="5"/>
      <c r="AS48" s="9"/>
      <c r="AT48" s="9"/>
      <c r="AU48" s="5"/>
      <c r="AV48" s="5"/>
    </row>
    <row r="49" spans="1:48" x14ac:dyDescent="0.25">
      <c r="G49" s="9"/>
      <c r="H49" s="9"/>
      <c r="I49" s="9"/>
      <c r="J49" s="57"/>
      <c r="K49" s="57"/>
      <c r="L49" s="195" t="s">
        <v>86</v>
      </c>
      <c r="M49" s="195"/>
      <c r="N49" s="195"/>
      <c r="O49" s="195"/>
      <c r="P49" s="195"/>
      <c r="Q49" s="195"/>
      <c r="R49" s="117"/>
      <c r="S49" s="117"/>
      <c r="T49" s="117"/>
      <c r="U49" s="117"/>
      <c r="V49" s="57"/>
      <c r="W49" s="57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5"/>
      <c r="AN49" s="5"/>
      <c r="AO49" s="5"/>
      <c r="AP49" s="5"/>
      <c r="AQ49" s="5"/>
      <c r="AR49" s="5"/>
      <c r="AS49" s="9"/>
      <c r="AT49" s="9"/>
      <c r="AU49" s="5"/>
      <c r="AV49" s="5"/>
    </row>
    <row r="50" spans="1:48" x14ac:dyDescent="0.25">
      <c r="G50" s="43"/>
      <c r="H50" s="43"/>
      <c r="I50" s="9"/>
      <c r="J50" s="57"/>
      <c r="K50" s="57"/>
      <c r="L50" s="195"/>
      <c r="M50" s="195"/>
      <c r="N50" s="195"/>
      <c r="O50" s="195"/>
      <c r="P50" s="195"/>
      <c r="Q50" s="195"/>
      <c r="R50" s="117"/>
      <c r="S50" s="117"/>
      <c r="T50" s="117"/>
      <c r="U50" s="117"/>
      <c r="V50" s="57"/>
      <c r="W50" s="57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5"/>
      <c r="AN50" s="5"/>
      <c r="AO50" s="5"/>
      <c r="AP50" s="5"/>
      <c r="AQ50" s="5"/>
      <c r="AR50" s="5"/>
      <c r="AS50" s="9"/>
      <c r="AT50" s="9"/>
      <c r="AU50" s="5"/>
      <c r="AV50" s="5"/>
    </row>
    <row r="51" spans="1:48" x14ac:dyDescent="0.25">
      <c r="A51" s="206" t="str">
        <f>IF(B19="si",CONCATENATE("Von = ",ROUND((W65/Y65),3),"*e^",((W66)-(Y66)),"º*j"),"no hace falta, para que la queres")</f>
        <v>Von = 82,923*e^19,1073853635936º*j</v>
      </c>
      <c r="B51" s="206"/>
      <c r="C51" s="206"/>
      <c r="D51" s="206"/>
      <c r="E51" s="206"/>
      <c r="F51" s="206"/>
      <c r="G51" s="206"/>
      <c r="H51" s="9"/>
      <c r="I51" s="9"/>
      <c r="J51" s="57"/>
      <c r="K51" s="57"/>
      <c r="L51" s="57"/>
      <c r="M51" s="57"/>
      <c r="N51" s="57" t="s">
        <v>90</v>
      </c>
      <c r="O51" s="57" t="s">
        <v>91</v>
      </c>
      <c r="P51" s="57" t="s">
        <v>72</v>
      </c>
      <c r="Q51" s="57" t="s">
        <v>73</v>
      </c>
      <c r="R51" s="57"/>
      <c r="S51" s="57"/>
      <c r="T51" s="57"/>
      <c r="U51" s="57"/>
      <c r="V51" s="57"/>
      <c r="W51" s="57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5"/>
      <c r="AN51" s="5"/>
      <c r="AO51" s="5"/>
      <c r="AP51" s="5"/>
      <c r="AQ51" s="5"/>
      <c r="AR51" s="5"/>
      <c r="AS51" s="9"/>
      <c r="AT51" s="9"/>
      <c r="AU51" s="5"/>
      <c r="AV51" s="5"/>
    </row>
    <row r="52" spans="1:48" x14ac:dyDescent="0.25">
      <c r="A52" s="206"/>
      <c r="B52" s="206"/>
      <c r="C52" s="206"/>
      <c r="D52" s="206"/>
      <c r="E52" s="206"/>
      <c r="F52" s="206"/>
      <c r="G52" s="206"/>
      <c r="H52" s="9"/>
      <c r="I52" s="9"/>
      <c r="J52" s="57"/>
      <c r="K52" s="57"/>
      <c r="L52" s="57"/>
      <c r="M52" s="57" t="s">
        <v>87</v>
      </c>
      <c r="N52" s="57">
        <f>1/(N6)</f>
        <v>0.05</v>
      </c>
      <c r="O52" s="57">
        <f>-(O6)</f>
        <v>30</v>
      </c>
      <c r="P52" s="57">
        <f>N52*COS(RADIANS(O52))</f>
        <v>4.330127018922194E-2</v>
      </c>
      <c r="Q52" s="57">
        <f>N52*SIN(RADIANS(O52))</f>
        <v>2.4999999999999998E-2</v>
      </c>
      <c r="R52" s="57" t="str">
        <f>COMPLEX(P52,Q52)</f>
        <v>0,0433012701892219+0,025i</v>
      </c>
      <c r="S52" s="57"/>
      <c r="T52" s="57"/>
      <c r="U52" s="57"/>
      <c r="V52" s="57"/>
      <c r="W52" s="57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5"/>
      <c r="AN52" s="5"/>
      <c r="AO52" s="5"/>
      <c r="AP52" s="5"/>
      <c r="AQ52" s="5"/>
      <c r="AR52" s="5"/>
      <c r="AS52" s="9"/>
      <c r="AT52" s="9"/>
      <c r="AU52" s="5"/>
      <c r="AV52" s="5"/>
    </row>
    <row r="53" spans="1:48" x14ac:dyDescent="0.25">
      <c r="A53" s="206"/>
      <c r="B53" s="206"/>
      <c r="C53" s="206"/>
      <c r="D53" s="206"/>
      <c r="E53" s="206"/>
      <c r="F53" s="206"/>
      <c r="G53" s="206"/>
      <c r="H53" s="9"/>
      <c r="I53" s="9"/>
      <c r="J53" s="57"/>
      <c r="K53" s="57"/>
      <c r="L53" s="57"/>
      <c r="M53" s="57" t="s">
        <v>88</v>
      </c>
      <c r="N53" s="57">
        <f>1/(N13)</f>
        <v>0.05</v>
      </c>
      <c r="O53" s="57">
        <f>-(O13)</f>
        <v>-30</v>
      </c>
      <c r="P53" s="57">
        <f t="shared" ref="P53:P54" si="5">N53*COS(RADIANS(O53))</f>
        <v>4.330127018922194E-2</v>
      </c>
      <c r="Q53" s="57">
        <f>N53*SIN(RADIANS(O53))</f>
        <v>-2.4999999999999998E-2</v>
      </c>
      <c r="R53" s="57" t="str">
        <f t="shared" ref="R53:R54" si="6">COMPLEX(P53,Q53)</f>
        <v>0,0433012701892219-0,025i</v>
      </c>
      <c r="S53" s="57"/>
      <c r="T53" s="57"/>
      <c r="U53" s="57"/>
      <c r="V53" s="57"/>
      <c r="W53" s="57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5"/>
      <c r="AN53" s="5"/>
      <c r="AO53" s="5"/>
      <c r="AP53" s="5"/>
      <c r="AQ53" s="5"/>
      <c r="AR53" s="5"/>
      <c r="AS53" s="9"/>
      <c r="AT53" s="9"/>
      <c r="AU53" s="5"/>
      <c r="AV53" s="5"/>
    </row>
    <row r="54" spans="1:48" x14ac:dyDescent="0.25">
      <c r="A54" s="206"/>
      <c r="B54" s="206"/>
      <c r="C54" s="206"/>
      <c r="D54" s="206"/>
      <c r="E54" s="206"/>
      <c r="F54" s="206"/>
      <c r="G54" s="206"/>
      <c r="H54" s="9"/>
      <c r="I54" s="9"/>
      <c r="J54" s="57"/>
      <c r="K54" s="57"/>
      <c r="L54" s="57"/>
      <c r="M54" s="57" t="s">
        <v>89</v>
      </c>
      <c r="N54" s="57">
        <f>1/(N10)</f>
        <v>0.05</v>
      </c>
      <c r="O54" s="57">
        <f>-(O10)</f>
        <v>30</v>
      </c>
      <c r="P54" s="57">
        <f t="shared" si="5"/>
        <v>4.330127018922194E-2</v>
      </c>
      <c r="Q54" s="57">
        <f>N54*SIN(RADIANS(O54))</f>
        <v>2.4999999999999998E-2</v>
      </c>
      <c r="R54" s="57" t="str">
        <f t="shared" si="6"/>
        <v>0,0433012701892219+0,025i</v>
      </c>
      <c r="S54" s="57"/>
      <c r="T54" s="57"/>
      <c r="U54" s="57"/>
      <c r="V54" s="57"/>
      <c r="W54" s="57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5"/>
      <c r="AN54" s="5"/>
      <c r="AO54" s="5"/>
      <c r="AP54" s="5"/>
      <c r="AQ54" s="5"/>
      <c r="AR54" s="5"/>
      <c r="AS54" s="9"/>
      <c r="AT54" s="9"/>
      <c r="AU54" s="5"/>
      <c r="AV54" s="5"/>
    </row>
    <row r="55" spans="1:48" x14ac:dyDescent="0.25">
      <c r="I55" s="9"/>
      <c r="J55" s="57"/>
      <c r="K55" s="57"/>
      <c r="L55" s="57"/>
      <c r="M55" s="57" t="s">
        <v>93</v>
      </c>
      <c r="N55" s="57" t="str">
        <f>IF(N19="infinito",0,IF(N19=0,"infinito","elija un sistema"))</f>
        <v>infinito</v>
      </c>
      <c r="O55" s="57"/>
      <c r="P55" s="57"/>
      <c r="Q55" s="57"/>
      <c r="R55" s="57" t="str">
        <f>COMPLEX(P55,Q55)</f>
        <v>0</v>
      </c>
      <c r="S55" s="57"/>
      <c r="T55" s="57"/>
      <c r="U55" s="57"/>
      <c r="V55" s="57"/>
      <c r="W55" s="57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5"/>
      <c r="AN55" s="5"/>
      <c r="AO55" s="5"/>
      <c r="AP55" s="5"/>
      <c r="AQ55" s="5"/>
      <c r="AR55" s="5"/>
      <c r="AS55" s="9"/>
      <c r="AT55" s="9"/>
      <c r="AU55" s="5"/>
      <c r="AV55" s="5"/>
    </row>
    <row r="56" spans="1:48" x14ac:dyDescent="0.25">
      <c r="I56" s="9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5"/>
      <c r="AN56" s="5"/>
      <c r="AO56" s="5"/>
      <c r="AP56" s="5"/>
      <c r="AQ56" s="5"/>
      <c r="AR56" s="5"/>
      <c r="AS56" s="9"/>
      <c r="AT56" s="9"/>
      <c r="AU56" s="5"/>
      <c r="AV56" s="5"/>
    </row>
    <row r="57" spans="1:48" x14ac:dyDescent="0.25">
      <c r="I57" s="9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5"/>
      <c r="AN57" s="5"/>
      <c r="AO57" s="5"/>
      <c r="AP57" s="5"/>
      <c r="AQ57" s="5"/>
      <c r="AR57" s="5"/>
      <c r="AS57" s="9"/>
      <c r="AT57" s="9"/>
      <c r="AU57" s="5"/>
      <c r="AV57" s="5"/>
    </row>
    <row r="58" spans="1:48" ht="30" customHeight="1" x14ac:dyDescent="0.25">
      <c r="A58" s="204" t="str">
        <f>CONCATENATE("NUMERADOR Von = ",ROUND(W65,3),"*e^",(ROUND(W66,3)),"º*j")</f>
        <v>NUMERADOR Von = 10,97*e^30,001º*j</v>
      </c>
      <c r="B58" s="204"/>
      <c r="C58" s="204"/>
      <c r="D58" s="204"/>
      <c r="E58" s="204"/>
      <c r="F58" s="204"/>
      <c r="G58" s="204"/>
      <c r="I58" s="9"/>
      <c r="J58" s="57"/>
      <c r="K58" s="57"/>
      <c r="L58" s="57"/>
      <c r="M58" s="57"/>
      <c r="N58" s="136" t="s">
        <v>92</v>
      </c>
      <c r="O58" s="136"/>
      <c r="P58" s="136" t="s">
        <v>104</v>
      </c>
      <c r="Q58" s="57"/>
      <c r="R58" s="57"/>
      <c r="S58" s="57"/>
      <c r="T58" s="57"/>
      <c r="U58" s="57"/>
      <c r="V58" s="57"/>
      <c r="W58" s="57" t="s">
        <v>213</v>
      </c>
      <c r="X58" s="9"/>
      <c r="Y58" s="9" t="s">
        <v>214</v>
      </c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5"/>
      <c r="AN58" s="5"/>
      <c r="AO58" s="5"/>
      <c r="AP58" s="5"/>
      <c r="AQ58" s="5"/>
      <c r="AR58" s="5"/>
      <c r="AS58" s="9"/>
      <c r="AT58" s="9"/>
      <c r="AU58" s="5"/>
      <c r="AV58" s="5"/>
    </row>
    <row r="59" spans="1:48" x14ac:dyDescent="0.25">
      <c r="A59" s="204"/>
      <c r="B59" s="204"/>
      <c r="C59" s="204"/>
      <c r="D59" s="204"/>
      <c r="E59" s="204"/>
      <c r="F59" s="204"/>
      <c r="G59" s="204"/>
      <c r="I59" s="9"/>
      <c r="J59" s="57"/>
      <c r="K59" s="57"/>
      <c r="L59" s="57"/>
      <c r="M59" s="57" t="s">
        <v>102</v>
      </c>
      <c r="N59" s="57">
        <f>IF(N55=0,SUM(P52:P55),SUM(P52:P54))</f>
        <v>0.12990381056766581</v>
      </c>
      <c r="O59" s="57"/>
      <c r="P59" s="57" t="s">
        <v>90</v>
      </c>
      <c r="Q59" s="57" t="s">
        <v>91</v>
      </c>
      <c r="R59" s="57" t="s">
        <v>102</v>
      </c>
      <c r="S59" s="57" t="s">
        <v>103</v>
      </c>
      <c r="T59" s="57"/>
      <c r="U59" s="57"/>
      <c r="V59" s="57"/>
      <c r="W59" s="57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5"/>
      <c r="AN59" s="5"/>
      <c r="AO59" s="5"/>
      <c r="AP59" s="5"/>
      <c r="AQ59" s="5"/>
      <c r="AR59" s="5"/>
      <c r="AS59" s="9"/>
      <c r="AT59" s="9"/>
      <c r="AU59" s="5"/>
      <c r="AV59" s="5"/>
    </row>
    <row r="60" spans="1:48" ht="28.5" x14ac:dyDescent="0.25">
      <c r="A60" s="205" t="str">
        <f>CONCATENATE("NUMERADOR Von = ",W64)</f>
        <v>NUMERADOR Von = 9,5+5,485i</v>
      </c>
      <c r="B60" s="205"/>
      <c r="C60" s="205"/>
      <c r="D60" s="205"/>
      <c r="E60" s="205"/>
      <c r="F60" s="205"/>
      <c r="G60" s="205"/>
      <c r="I60" s="9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5"/>
      <c r="AN60" s="5"/>
      <c r="AO60" s="5"/>
      <c r="AP60" s="5"/>
      <c r="AQ60" s="5"/>
      <c r="AR60" s="5"/>
      <c r="AS60" s="9"/>
      <c r="AT60" s="9"/>
      <c r="AU60" s="5"/>
      <c r="AV60" s="5"/>
    </row>
    <row r="61" spans="1:48" x14ac:dyDescent="0.25">
      <c r="I61" s="9"/>
      <c r="J61" s="57"/>
      <c r="K61" s="57"/>
      <c r="L61" s="57"/>
      <c r="M61" s="57" t="s">
        <v>103</v>
      </c>
      <c r="N61" s="57">
        <f>IF(N55=0,SUM(Q52:Q55),SUM(Q52:Q54))</f>
        <v>2.4999999999999998E-2</v>
      </c>
      <c r="O61" s="57" t="s">
        <v>105</v>
      </c>
      <c r="P61" s="57">
        <f>ROUND(N52*I45,3)</f>
        <v>10.97</v>
      </c>
      <c r="Q61" s="57">
        <f>ROUND(O52+J45,3)</f>
        <v>30</v>
      </c>
      <c r="R61" s="57">
        <f>ROUND(P61*COS(RADIANS(Q61)),3)</f>
        <v>9.5</v>
      </c>
      <c r="S61" s="57">
        <f>ROUND(P61*SIN(RADIANS(Q61)),3)</f>
        <v>5.4850000000000003</v>
      </c>
      <c r="T61" s="57" t="s">
        <v>110</v>
      </c>
      <c r="U61" s="57" t="s">
        <v>223</v>
      </c>
      <c r="V61" s="57" t="s">
        <v>223</v>
      </c>
      <c r="W61" s="57" t="str">
        <f>COMPLEX(R61,S61)</f>
        <v>9,5+5,485i</v>
      </c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5"/>
      <c r="AN61" s="5"/>
      <c r="AO61" s="5"/>
      <c r="AP61" s="5"/>
      <c r="AQ61" s="5"/>
      <c r="AR61" s="5"/>
      <c r="AS61" s="9"/>
      <c r="AT61" s="9"/>
      <c r="AU61" s="5"/>
      <c r="AV61" s="5"/>
    </row>
    <row r="62" spans="1:48" x14ac:dyDescent="0.25">
      <c r="I62" s="9"/>
      <c r="J62" s="57"/>
      <c r="K62" s="57"/>
      <c r="L62" s="57"/>
      <c r="M62" s="57" t="s">
        <v>90</v>
      </c>
      <c r="N62" s="57">
        <f>ROUND(SQRT((N59*N59)+(N61*N61)),3)</f>
        <v>0.13200000000000001</v>
      </c>
      <c r="O62" s="57" t="s">
        <v>106</v>
      </c>
      <c r="P62" s="57">
        <f>ROUND(N53*I46,3)</f>
        <v>10.97</v>
      </c>
      <c r="Q62" s="57">
        <f>ROUND(O53+J46,3)</f>
        <v>90</v>
      </c>
      <c r="R62" s="57">
        <f t="shared" ref="R62:R63" si="7">ROUND(P62*COS(RADIANS(Q62)),3)</f>
        <v>0</v>
      </c>
      <c r="S62" s="57">
        <f t="shared" ref="S62:S63" si="8">ROUND(P62*SIN(RADIANS(Q62)),3)</f>
        <v>10.97</v>
      </c>
      <c r="T62" s="57" t="s">
        <v>111</v>
      </c>
      <c r="U62" s="57"/>
      <c r="V62" s="57"/>
      <c r="W62" s="57" t="str">
        <f>COMPLEX(R62,S62)</f>
        <v>10,97i</v>
      </c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5"/>
      <c r="AN62" s="5"/>
      <c r="AO62" s="5"/>
      <c r="AP62" s="5"/>
      <c r="AQ62" s="5"/>
      <c r="AR62" s="5"/>
      <c r="AS62" s="9"/>
      <c r="AT62" s="9"/>
      <c r="AU62" s="5"/>
      <c r="AV62" s="5"/>
    </row>
    <row r="63" spans="1:48" x14ac:dyDescent="0.25">
      <c r="I63" s="9"/>
      <c r="J63" s="57"/>
      <c r="K63" s="57"/>
      <c r="L63" s="57"/>
      <c r="M63" s="57" t="s">
        <v>91</v>
      </c>
      <c r="N63" s="57">
        <f>ROUND(ATAN(N61/N59)*180/PI(),3)</f>
        <v>10.893000000000001</v>
      </c>
      <c r="O63" s="57" t="s">
        <v>107</v>
      </c>
      <c r="P63" s="57">
        <f>ROUND(N54*I47,3)</f>
        <v>10.97</v>
      </c>
      <c r="Q63" s="57">
        <f>ROUND(O54+J47,3)</f>
        <v>270</v>
      </c>
      <c r="R63" s="57">
        <f t="shared" si="7"/>
        <v>0</v>
      </c>
      <c r="S63" s="57">
        <f t="shared" si="8"/>
        <v>-10.97</v>
      </c>
      <c r="T63" s="57" t="s">
        <v>112</v>
      </c>
      <c r="U63" s="57"/>
      <c r="V63" s="57"/>
      <c r="W63" s="57" t="str">
        <f>COMPLEX(R63,S63)</f>
        <v>-10,97i</v>
      </c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5"/>
      <c r="AN63" s="5"/>
      <c r="AO63" s="5"/>
      <c r="AP63" s="5"/>
      <c r="AQ63" s="5"/>
      <c r="AR63" s="5"/>
      <c r="AS63" s="9"/>
      <c r="AT63" s="9"/>
      <c r="AU63" s="5"/>
      <c r="AV63" s="5"/>
    </row>
    <row r="64" spans="1:48" ht="18.75" x14ac:dyDescent="0.3">
      <c r="A64" s="204" t="str">
        <f>CONCATENATE("DENOMINADOR Von = ",ROUND(Y65,3),"*e^",ROUND(Y66,3),"º*j")</f>
        <v>DENOMINADOR Von = 0,132*e^10,893º*j</v>
      </c>
      <c r="B64" s="204"/>
      <c r="C64" s="204"/>
      <c r="D64" s="204"/>
      <c r="E64" s="204"/>
      <c r="F64" s="204"/>
      <c r="G64" s="204"/>
      <c r="I64" s="9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 t="s">
        <v>67</v>
      </c>
      <c r="W64" s="137" t="str">
        <f>IMSUM(W61,W62,W63)</f>
        <v>9,5+5,485i</v>
      </c>
      <c r="X64" s="9" t="s">
        <v>67</v>
      </c>
      <c r="Y64" s="9" t="str">
        <f>IMSUM(R52,R53,R54,R55)</f>
        <v>0,129903810567666+0,025i</v>
      </c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43"/>
      <c r="AN64" s="43"/>
      <c r="AO64" s="43"/>
      <c r="AP64" s="43"/>
      <c r="AQ64" s="9"/>
      <c r="AR64" s="9"/>
      <c r="AS64" s="9"/>
      <c r="AT64" s="9"/>
      <c r="AU64" s="5"/>
      <c r="AV64" s="5"/>
    </row>
    <row r="65" spans="1:48" ht="31.5" customHeight="1" x14ac:dyDescent="0.25">
      <c r="A65" s="204"/>
      <c r="B65" s="204"/>
      <c r="C65" s="204"/>
      <c r="D65" s="204"/>
      <c r="E65" s="204"/>
      <c r="F65" s="204"/>
      <c r="G65" s="204"/>
      <c r="I65" s="9"/>
      <c r="J65" s="57"/>
      <c r="K65" s="57"/>
      <c r="L65" s="57"/>
      <c r="M65" s="57"/>
      <c r="N65" s="57"/>
      <c r="O65" s="194" t="s">
        <v>108</v>
      </c>
      <c r="P65" s="194"/>
      <c r="Q65" s="195" t="s">
        <v>109</v>
      </c>
      <c r="R65" s="195"/>
      <c r="S65" s="57"/>
      <c r="T65" s="57"/>
      <c r="U65" s="57"/>
      <c r="V65" s="57" t="s">
        <v>90</v>
      </c>
      <c r="W65" s="57">
        <f>IMABS(W64)</f>
        <v>10.969741336968708</v>
      </c>
      <c r="X65" s="9" t="s">
        <v>90</v>
      </c>
      <c r="Y65" s="9">
        <f>IMABS(Y64)</f>
        <v>0.13228756555322976</v>
      </c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43"/>
      <c r="AN65" s="43"/>
      <c r="AO65" s="43"/>
      <c r="AP65" s="43"/>
      <c r="AQ65" s="9"/>
      <c r="AR65" s="9"/>
      <c r="AS65" s="9"/>
      <c r="AT65" s="9"/>
      <c r="AU65" s="5"/>
      <c r="AV65" s="5"/>
    </row>
    <row r="66" spans="1:48" x14ac:dyDescent="0.25">
      <c r="A66" s="204"/>
      <c r="B66" s="204"/>
      <c r="C66" s="204"/>
      <c r="D66" s="204"/>
      <c r="E66" s="204"/>
      <c r="F66" s="204"/>
      <c r="G66" s="204"/>
      <c r="I66" s="9"/>
      <c r="J66" s="57"/>
      <c r="K66" s="57"/>
      <c r="L66" s="57"/>
      <c r="M66" s="57"/>
      <c r="N66" s="57"/>
      <c r="O66" s="57" t="s">
        <v>102</v>
      </c>
      <c r="P66" s="57" t="s">
        <v>103</v>
      </c>
      <c r="Q66" s="57" t="s">
        <v>102</v>
      </c>
      <c r="R66" s="57" t="s">
        <v>103</v>
      </c>
      <c r="S66" s="57"/>
      <c r="T66" s="57"/>
      <c r="U66" s="57"/>
      <c r="V66" s="57" t="s">
        <v>91</v>
      </c>
      <c r="W66" s="57">
        <f>DEGREES(IMARGUMENT(W64))</f>
        <v>30.000780012724466</v>
      </c>
      <c r="X66" s="9" t="s">
        <v>91</v>
      </c>
      <c r="Y66" s="9">
        <f>DEGREES(IMARGUMENT(Y64))</f>
        <v>10.89339464913089</v>
      </c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43"/>
      <c r="AN66" s="43"/>
      <c r="AO66" s="43"/>
      <c r="AP66" s="43"/>
      <c r="AQ66" s="9"/>
      <c r="AR66" s="9"/>
      <c r="AS66" s="9"/>
      <c r="AT66" s="9"/>
      <c r="AU66" s="5"/>
      <c r="AV66" s="5"/>
    </row>
    <row r="67" spans="1:48" x14ac:dyDescent="0.25">
      <c r="A67" s="193" t="str">
        <f>CONCATENATE("DENOMINADOR Von = ",Y64)</f>
        <v>DENOMINADOR Von = 0,129903810567666+0,025i</v>
      </c>
      <c r="B67" s="193"/>
      <c r="C67" s="193"/>
      <c r="D67" s="193"/>
      <c r="E67" s="193"/>
      <c r="F67" s="193"/>
      <c r="G67" s="193"/>
      <c r="I67" s="9"/>
      <c r="J67" s="57"/>
      <c r="K67" s="57"/>
      <c r="L67" s="57"/>
      <c r="M67" s="57"/>
      <c r="N67" s="57"/>
      <c r="O67" s="57">
        <f>ROUND(SUM(R61:R63),3)</f>
        <v>9.5</v>
      </c>
      <c r="P67" s="57">
        <f>ROUND(SUM(S61:S63),3)</f>
        <v>5.4850000000000003</v>
      </c>
      <c r="Q67" s="57">
        <f>ROUND(N59,3)</f>
        <v>0.13</v>
      </c>
      <c r="R67" s="57">
        <f>ROUND(N61,3)</f>
        <v>2.5000000000000001E-2</v>
      </c>
      <c r="S67" s="57"/>
      <c r="T67" s="57"/>
      <c r="U67" s="57"/>
      <c r="V67" s="57"/>
      <c r="W67" s="57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43"/>
      <c r="AN67" s="43"/>
      <c r="AO67" s="43"/>
      <c r="AP67" s="43"/>
      <c r="AQ67" s="9"/>
      <c r="AR67" s="9"/>
      <c r="AS67" s="9"/>
      <c r="AT67" s="9"/>
      <c r="AU67" s="5"/>
      <c r="AV67" s="5"/>
    </row>
    <row r="68" spans="1:48" ht="18.75" x14ac:dyDescent="0.3">
      <c r="A68" s="193"/>
      <c r="B68" s="193"/>
      <c r="C68" s="193"/>
      <c r="D68" s="193"/>
      <c r="E68" s="193"/>
      <c r="F68" s="193"/>
      <c r="G68" s="193"/>
      <c r="I68" s="9"/>
      <c r="J68" s="57"/>
      <c r="K68" s="57"/>
      <c r="L68" s="57"/>
      <c r="M68" s="57"/>
      <c r="N68" s="57"/>
      <c r="O68" s="57" t="s">
        <v>90</v>
      </c>
      <c r="P68" s="57" t="s">
        <v>91</v>
      </c>
      <c r="Q68" s="57" t="s">
        <v>90</v>
      </c>
      <c r="R68" s="57" t="s">
        <v>91</v>
      </c>
      <c r="S68" s="57"/>
      <c r="T68" s="57"/>
      <c r="U68" s="137"/>
      <c r="V68" s="137"/>
      <c r="W68" s="137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43"/>
      <c r="AN68" s="43"/>
      <c r="AO68" s="43"/>
      <c r="AP68" s="43"/>
      <c r="AQ68" s="9"/>
      <c r="AR68" s="9"/>
      <c r="AS68" s="9"/>
      <c r="AT68" s="9"/>
      <c r="AU68" s="5"/>
      <c r="AV68" s="5"/>
    </row>
    <row r="69" spans="1:48" ht="18.75" x14ac:dyDescent="0.3">
      <c r="A69" s="193"/>
      <c r="B69" s="193"/>
      <c r="C69" s="193"/>
      <c r="D69" s="193"/>
      <c r="E69" s="193"/>
      <c r="F69" s="193"/>
      <c r="G69" s="193"/>
      <c r="I69" s="9"/>
      <c r="J69" s="57"/>
      <c r="K69" s="57"/>
      <c r="L69" s="57"/>
      <c r="M69" s="57"/>
      <c r="N69" s="57"/>
      <c r="O69" s="57">
        <f>ROUND(SQRT((O67*O67)+(P67*P67)),3)</f>
        <v>10.97</v>
      </c>
      <c r="P69" s="57">
        <f>ROUND(ATAN(P67/O67)*180/PI(),3)</f>
        <v>30.001000000000001</v>
      </c>
      <c r="Q69" s="57">
        <f>+N62</f>
        <v>0.13200000000000001</v>
      </c>
      <c r="R69" s="57">
        <f>+N63</f>
        <v>10.893000000000001</v>
      </c>
      <c r="S69" s="57"/>
      <c r="T69" s="57"/>
      <c r="U69" s="137"/>
      <c r="V69" s="137"/>
      <c r="W69" s="137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43"/>
      <c r="AN69" s="43"/>
      <c r="AO69" s="43"/>
      <c r="AP69" s="43"/>
      <c r="AQ69" s="9"/>
      <c r="AR69" s="9"/>
      <c r="AS69" s="9"/>
      <c r="AT69" s="9"/>
      <c r="AU69" s="5"/>
      <c r="AV69" s="5"/>
    </row>
    <row r="70" spans="1:48" ht="18.75" x14ac:dyDescent="0.3">
      <c r="I70" s="9"/>
      <c r="J70" s="57"/>
      <c r="K70" s="57"/>
      <c r="L70" s="57"/>
      <c r="M70" s="57"/>
      <c r="N70" s="57"/>
      <c r="O70" s="57"/>
      <c r="P70" s="57" t="s">
        <v>90</v>
      </c>
      <c r="Q70" s="57" t="s">
        <v>114</v>
      </c>
      <c r="R70" s="57"/>
      <c r="S70" s="57"/>
      <c r="T70" s="57"/>
      <c r="U70" s="137"/>
      <c r="V70" s="137" t="s">
        <v>113</v>
      </c>
      <c r="W70" s="137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43"/>
      <c r="AN70" s="43"/>
      <c r="AO70" s="43"/>
      <c r="AP70" s="43"/>
      <c r="AQ70" s="9"/>
      <c r="AR70" s="9"/>
      <c r="AS70" s="9"/>
      <c r="AT70" s="9"/>
      <c r="AU70" s="5"/>
      <c r="AV70" s="5"/>
    </row>
    <row r="71" spans="1:48" ht="18.75" x14ac:dyDescent="0.3">
      <c r="I71" s="9"/>
      <c r="J71" s="9"/>
      <c r="K71" s="9"/>
      <c r="L71" s="9"/>
      <c r="M71" s="9"/>
      <c r="N71" s="9"/>
      <c r="O71" s="9" t="s">
        <v>113</v>
      </c>
      <c r="P71" s="9">
        <f>O69/Q69</f>
        <v>83.106060606060609</v>
      </c>
      <c r="Q71" s="9">
        <f>P69-(R69)</f>
        <v>19.108000000000001</v>
      </c>
      <c r="R71" s="9"/>
      <c r="S71" s="9"/>
      <c r="T71" s="9"/>
      <c r="U71" s="123" t="s">
        <v>225</v>
      </c>
      <c r="V71" s="123">
        <f>+W65/Y65</f>
        <v>82.923450069498116</v>
      </c>
      <c r="W71" s="123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43"/>
      <c r="AN71" s="43"/>
      <c r="AO71" s="43"/>
      <c r="AP71" s="43"/>
      <c r="AQ71" s="9"/>
      <c r="AR71" s="9"/>
      <c r="AS71" s="9"/>
      <c r="AT71" s="9"/>
      <c r="AU71" s="5"/>
      <c r="AV71" s="5"/>
    </row>
    <row r="72" spans="1:48" ht="18.75" x14ac:dyDescent="0.3">
      <c r="I72" s="9"/>
      <c r="J72" s="9"/>
      <c r="K72" s="9"/>
      <c r="L72" s="9"/>
      <c r="M72" s="9"/>
      <c r="N72" s="9"/>
      <c r="O72" s="9" t="s">
        <v>113</v>
      </c>
      <c r="P72" s="9" t="s">
        <v>72</v>
      </c>
      <c r="Q72" s="9" t="s">
        <v>73</v>
      </c>
      <c r="R72" s="9"/>
      <c r="S72" s="9"/>
      <c r="T72" s="9"/>
      <c r="U72" s="123" t="s">
        <v>36</v>
      </c>
      <c r="V72" s="123">
        <f>+W66-Y66</f>
        <v>19.107385363593576</v>
      </c>
      <c r="W72" s="123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43"/>
      <c r="AN72" s="43"/>
      <c r="AO72" s="43"/>
      <c r="AP72" s="43"/>
      <c r="AQ72" s="9"/>
      <c r="AR72" s="9"/>
      <c r="AS72" s="9"/>
      <c r="AT72" s="9"/>
      <c r="AU72" s="5"/>
      <c r="AV72" s="5"/>
    </row>
    <row r="73" spans="1:48" ht="18.75" x14ac:dyDescent="0.3">
      <c r="I73" s="9"/>
      <c r="J73" s="9"/>
      <c r="K73" s="9"/>
      <c r="L73" s="9"/>
      <c r="M73" s="9"/>
      <c r="N73" s="9"/>
      <c r="O73" s="9"/>
      <c r="P73" s="9">
        <f>ROUND(P71*COS(RADIANS(Q71)),3)</f>
        <v>78.527000000000001</v>
      </c>
      <c r="Q73" s="9">
        <f>ROUND(P71*SIN(RADIANS(Q71)),3)</f>
        <v>27.204999999999998</v>
      </c>
      <c r="R73" s="9"/>
      <c r="S73" s="9"/>
      <c r="T73" s="9"/>
      <c r="U73" s="123"/>
      <c r="V73" s="123" t="str">
        <f>IMDIV(W64,Y64)</f>
        <v>78,3549257367327+27,1441371979227i</v>
      </c>
      <c r="W73" s="123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43"/>
      <c r="AN73" s="43"/>
      <c r="AO73" s="43"/>
      <c r="AP73" s="43"/>
      <c r="AQ73" s="9"/>
      <c r="AR73" s="9"/>
      <c r="AS73" s="9"/>
      <c r="AT73" s="9"/>
      <c r="AU73" s="5"/>
      <c r="AV73" s="5"/>
    </row>
    <row r="74" spans="1:48" ht="21" x14ac:dyDescent="0.35"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145"/>
      <c r="V74" s="145"/>
      <c r="W74" s="145"/>
      <c r="X74" s="145"/>
      <c r="Y74" s="145"/>
      <c r="Z74" s="145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43"/>
      <c r="AN74" s="43"/>
      <c r="AO74" s="43"/>
      <c r="AP74" s="43"/>
      <c r="AQ74" s="9"/>
      <c r="AR74" s="9"/>
      <c r="AS74" s="9"/>
      <c r="AT74" s="9"/>
      <c r="AU74" s="5"/>
      <c r="AV74" s="5"/>
    </row>
    <row r="75" spans="1:48" ht="21" x14ac:dyDescent="0.35"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145"/>
      <c r="V75" s="145"/>
      <c r="W75" s="145"/>
      <c r="X75" s="145"/>
      <c r="Y75" s="145"/>
      <c r="Z75" s="145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43"/>
      <c r="AN75" s="43"/>
      <c r="AO75" s="43"/>
      <c r="AP75" s="43"/>
      <c r="AQ75" s="9"/>
      <c r="AR75" s="9"/>
      <c r="AS75" s="9"/>
      <c r="AT75" s="9"/>
      <c r="AU75" s="5"/>
      <c r="AV75" s="5"/>
    </row>
    <row r="76" spans="1:48" ht="63" x14ac:dyDescent="0.35"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145"/>
      <c r="V76" s="145"/>
      <c r="W76" s="146"/>
      <c r="X76" s="147" t="s">
        <v>72</v>
      </c>
      <c r="Y76" s="147" t="s">
        <v>75</v>
      </c>
      <c r="Z76" s="145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43"/>
      <c r="AN76" s="43"/>
      <c r="AO76" s="43"/>
      <c r="AP76" s="43"/>
      <c r="AQ76" s="9"/>
      <c r="AR76" s="9"/>
      <c r="AS76" s="9"/>
      <c r="AT76" s="9"/>
      <c r="AU76" s="5"/>
      <c r="AV76" s="5"/>
    </row>
    <row r="77" spans="1:48" ht="21" x14ac:dyDescent="0.35"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145"/>
      <c r="V77" s="145"/>
      <c r="W77" s="146" t="s">
        <v>96</v>
      </c>
      <c r="X77" s="146">
        <f>+P32*COS(RADIANS(0))</f>
        <v>219.39</v>
      </c>
      <c r="Y77" s="146">
        <f>+P32*SIN(RADIANS(0))</f>
        <v>0</v>
      </c>
      <c r="Z77" s="145" t="str">
        <f>COMPLEX(X77,Y77)</f>
        <v>219,39</v>
      </c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43"/>
      <c r="AN77" s="43"/>
      <c r="AO77" s="43"/>
      <c r="AP77" s="43"/>
      <c r="AQ77" s="9"/>
      <c r="AR77" s="9"/>
      <c r="AS77" s="9"/>
      <c r="AT77" s="9"/>
      <c r="AU77" s="5"/>
      <c r="AV77" s="5"/>
    </row>
    <row r="78" spans="1:48" ht="21" x14ac:dyDescent="0.35"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145"/>
      <c r="V78" s="145"/>
      <c r="W78" s="146" t="s">
        <v>97</v>
      </c>
      <c r="X78" s="146">
        <f>IF(B2="directa",P32*COS(RADIANS(240)),IF(B2="indirecta",P32*COS(RADIANS(120)),"col. Sec."))</f>
        <v>-109.69499999999995</v>
      </c>
      <c r="Y78" s="146">
        <f>IF(B2="directa",P32*SIN(RADIANS(240)),IF(B2="indirecta",P32*SIN(RADIANS(120)),"col. Sec."))</f>
        <v>189.99731333626801</v>
      </c>
      <c r="Z78" s="145" t="str">
        <f t="shared" ref="Z78:Z79" si="9">COMPLEX(X78,Y78)</f>
        <v>-109,695+189,997313336268i</v>
      </c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43"/>
      <c r="AN78" s="43"/>
      <c r="AO78" s="43"/>
      <c r="AP78" s="43"/>
      <c r="AQ78" s="9"/>
      <c r="AR78" s="9"/>
      <c r="AS78" s="9"/>
      <c r="AT78" s="9"/>
    </row>
    <row r="79" spans="1:48" ht="21" x14ac:dyDescent="0.35"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145"/>
      <c r="V79" s="145"/>
      <c r="W79" s="146" t="s">
        <v>98</v>
      </c>
      <c r="X79" s="146">
        <f>IF(B2="directa",P32*COS(RADIANS(120)),IF(B2="indirecta",P32*COS(RADIANS(240)),"col. Sec."))</f>
        <v>-109.69500000000009</v>
      </c>
      <c r="Y79" s="146">
        <f>IF(B2="directa",P32*SIN(RADIANS(120)),IF(B2="indirecta",P32*SIN(RADIANS(240)),"col. Sec."))</f>
        <v>-189.99731333626792</v>
      </c>
      <c r="Z79" s="145" t="str">
        <f t="shared" si="9"/>
        <v>-109,695-189,997313336268i</v>
      </c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43"/>
      <c r="AN79" s="43"/>
      <c r="AO79" s="43"/>
      <c r="AP79" s="43"/>
      <c r="AQ79" s="9"/>
      <c r="AR79" s="9"/>
      <c r="AS79" s="9"/>
      <c r="AT79" s="9"/>
    </row>
    <row r="80" spans="1:48" ht="21" x14ac:dyDescent="0.35"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145"/>
      <c r="V80" s="145"/>
      <c r="W80" s="145"/>
      <c r="X80" s="145"/>
      <c r="Y80" s="145"/>
      <c r="Z80" s="145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43"/>
      <c r="AN80" s="43"/>
      <c r="AO80" s="43"/>
      <c r="AP80" s="43"/>
      <c r="AQ80" s="9"/>
      <c r="AR80" s="9"/>
      <c r="AS80" s="9"/>
      <c r="AT80" s="9"/>
    </row>
    <row r="81" spans="9:46" ht="21" x14ac:dyDescent="0.35"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145"/>
      <c r="V81" s="145"/>
      <c r="W81" s="145"/>
      <c r="X81" s="145"/>
      <c r="Y81" s="145"/>
      <c r="Z81" s="145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43"/>
      <c r="AN81" s="43"/>
      <c r="AO81" s="43"/>
      <c r="AP81" s="43"/>
      <c r="AQ81" s="9"/>
      <c r="AR81" s="9"/>
      <c r="AS81" s="9"/>
      <c r="AT81" s="9"/>
    </row>
    <row r="82" spans="9:46" ht="21" x14ac:dyDescent="0.35"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145"/>
      <c r="V82" s="145"/>
      <c r="W82" s="145"/>
      <c r="X82" s="145"/>
      <c r="Y82" s="145"/>
      <c r="Z82" s="145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43"/>
      <c r="AN82" s="43"/>
      <c r="AO82" s="43"/>
      <c r="AP82" s="43"/>
      <c r="AQ82" s="9"/>
      <c r="AR82" s="9"/>
      <c r="AS82" s="9"/>
      <c r="AT82" s="9"/>
    </row>
    <row r="83" spans="9:46" ht="21" x14ac:dyDescent="0.35"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145"/>
      <c r="V83" s="145"/>
      <c r="W83" s="145"/>
      <c r="X83" s="145"/>
      <c r="Y83" s="145"/>
      <c r="Z83" s="145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43"/>
      <c r="AN83" s="43"/>
      <c r="AO83" s="43"/>
      <c r="AP83" s="43"/>
      <c r="AQ83" s="9"/>
      <c r="AR83" s="9"/>
      <c r="AS83" s="9"/>
      <c r="AT83" s="9"/>
    </row>
    <row r="84" spans="9:46" ht="21" x14ac:dyDescent="0.35"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145"/>
      <c r="V84" s="145"/>
      <c r="W84" s="145"/>
      <c r="X84" s="145"/>
      <c r="Y84" s="145"/>
      <c r="Z84" s="145"/>
      <c r="AA84" s="9"/>
      <c r="AB84" s="9"/>
      <c r="AC84" s="9"/>
      <c r="AD84" s="9" t="s">
        <v>90</v>
      </c>
      <c r="AE84" s="9" t="s">
        <v>91</v>
      </c>
      <c r="AF84" s="9"/>
      <c r="AG84" s="9"/>
      <c r="AH84" s="9"/>
      <c r="AI84" s="9"/>
      <c r="AJ84" s="9"/>
      <c r="AK84" s="9"/>
      <c r="AL84" s="9"/>
      <c r="AM84" s="43"/>
      <c r="AN84" s="43"/>
      <c r="AO84" s="43"/>
      <c r="AP84" s="43"/>
      <c r="AQ84" s="9"/>
      <c r="AR84" s="9"/>
      <c r="AS84" s="9"/>
      <c r="AT84" s="9"/>
    </row>
    <row r="85" spans="9:46" ht="21" x14ac:dyDescent="0.35"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145"/>
      <c r="V85" s="145" t="s">
        <v>230</v>
      </c>
      <c r="W85" s="145" t="s">
        <v>233</v>
      </c>
      <c r="X85" s="145"/>
      <c r="Y85" s="145" t="str">
        <f>IMSUB(Z77,V73)</f>
        <v>141,035074263267-27,1441371979227i</v>
      </c>
      <c r="Z85" s="145"/>
      <c r="AA85" s="9"/>
      <c r="AB85" s="9"/>
      <c r="AC85" s="9"/>
      <c r="AD85" s="9">
        <f>IMABS(Y85)</f>
        <v>143.62345336561467</v>
      </c>
      <c r="AE85" s="9">
        <f>DEGREES(IMARGUMENT(Y85))</f>
        <v>-10.894148556957342</v>
      </c>
      <c r="AF85" s="9"/>
      <c r="AG85" s="9"/>
      <c r="AH85" s="9"/>
      <c r="AI85" s="9"/>
      <c r="AJ85" s="9"/>
      <c r="AK85" s="9"/>
      <c r="AL85" s="9"/>
      <c r="AM85" s="43"/>
      <c r="AN85" s="43"/>
      <c r="AO85" s="43"/>
      <c r="AP85" s="43"/>
      <c r="AQ85" s="9"/>
      <c r="AR85" s="9"/>
      <c r="AS85" s="9"/>
      <c r="AT85" s="9"/>
    </row>
    <row r="86" spans="9:46" ht="21" x14ac:dyDescent="0.35"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145"/>
      <c r="V86" s="145" t="s">
        <v>231</v>
      </c>
      <c r="W86" s="145" t="s">
        <v>234</v>
      </c>
      <c r="X86" s="145"/>
      <c r="Y86" s="145" t="str">
        <f>IMSUB(Z78,V73)</f>
        <v>-188,049925736733+162,853176138345i</v>
      </c>
      <c r="Z86" s="145"/>
      <c r="AA86" s="9"/>
      <c r="AB86" s="9"/>
      <c r="AC86" s="9"/>
      <c r="AD86" s="9">
        <f t="shared" ref="AD86:AD87" si="10">IMABS(Y86)</f>
        <v>248.76481171567977</v>
      </c>
      <c r="AE86" s="9">
        <f>DEGREES(IMARGUMENT(Y86))</f>
        <v>139.10709924353355</v>
      </c>
      <c r="AF86" s="9"/>
      <c r="AG86" s="9"/>
      <c r="AH86" s="9"/>
      <c r="AI86" s="9"/>
      <c r="AJ86" s="9"/>
      <c r="AK86" s="9"/>
      <c r="AL86" s="9"/>
      <c r="AM86" s="43"/>
      <c r="AN86" s="43"/>
      <c r="AO86" s="43"/>
      <c r="AP86" s="43"/>
      <c r="AQ86" s="9"/>
      <c r="AR86" s="9"/>
      <c r="AS86" s="9"/>
      <c r="AT86" s="9"/>
    </row>
    <row r="87" spans="9:46" ht="21" x14ac:dyDescent="0.35"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145"/>
      <c r="V87" s="145" t="s">
        <v>232</v>
      </c>
      <c r="W87" s="145" t="s">
        <v>235</v>
      </c>
      <c r="X87" s="145"/>
      <c r="Y87" s="145" t="str">
        <f>IMSUB(Z79,V73)</f>
        <v>-188,049925736733-217,141450534191i</v>
      </c>
      <c r="Z87" s="145"/>
      <c r="AA87" s="9"/>
      <c r="AB87" s="9"/>
      <c r="AC87" s="9"/>
      <c r="AD87" s="9">
        <f t="shared" si="10"/>
        <v>287.25108199915161</v>
      </c>
      <c r="AE87" s="9">
        <f>DEGREES(IMARGUMENT(Y87))</f>
        <v>-130.89338158553383</v>
      </c>
      <c r="AF87" s="9"/>
      <c r="AG87" s="9"/>
      <c r="AH87" s="9"/>
      <c r="AI87" s="9"/>
      <c r="AJ87" s="9"/>
      <c r="AK87" s="9"/>
      <c r="AL87" s="9"/>
      <c r="AM87" s="43"/>
      <c r="AN87" s="43"/>
      <c r="AO87" s="43"/>
      <c r="AP87" s="43"/>
      <c r="AQ87" s="9"/>
      <c r="AR87" s="9"/>
      <c r="AS87" s="9"/>
      <c r="AT87" s="9"/>
    </row>
    <row r="88" spans="9:46" x14ac:dyDescent="0.25"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43"/>
      <c r="AN88" s="43"/>
      <c r="AO88" s="43"/>
      <c r="AP88" s="43"/>
      <c r="AQ88" s="9"/>
      <c r="AR88" s="9"/>
      <c r="AS88" s="9"/>
      <c r="AT88" s="9"/>
    </row>
    <row r="89" spans="9:46" x14ac:dyDescent="0.25"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43"/>
      <c r="AN89" s="43"/>
      <c r="AO89" s="43"/>
      <c r="AP89" s="43"/>
      <c r="AQ89" s="9"/>
      <c r="AR89" s="9"/>
      <c r="AS89" s="9"/>
      <c r="AT89" s="9"/>
    </row>
    <row r="90" spans="9:46" x14ac:dyDescent="0.25"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43"/>
      <c r="AN90" s="43"/>
      <c r="AO90" s="43"/>
      <c r="AP90" s="43"/>
      <c r="AQ90" s="9"/>
      <c r="AR90" s="9"/>
      <c r="AS90" s="9"/>
      <c r="AT90" s="9"/>
    </row>
    <row r="91" spans="9:46" x14ac:dyDescent="0.25"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43"/>
      <c r="AN91" s="43"/>
      <c r="AO91" s="43"/>
      <c r="AP91" s="43"/>
      <c r="AQ91" s="9"/>
      <c r="AR91" s="9"/>
      <c r="AS91" s="9"/>
      <c r="AT91" s="9"/>
    </row>
    <row r="92" spans="9:46" x14ac:dyDescent="0.25"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9"/>
      <c r="AR92" s="9"/>
      <c r="AS92" s="9"/>
      <c r="AT92" s="9"/>
    </row>
    <row r="93" spans="9:46" x14ac:dyDescent="0.25"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9"/>
      <c r="AR93" s="9"/>
      <c r="AS93" s="9"/>
      <c r="AT93" s="9"/>
    </row>
  </sheetData>
  <customSheetViews>
    <customSheetView guid="{3A3E5509-6F94-4D69-A7C4-CEBE4E279804}" scale="70" showGridLines="0">
      <selection activeCell="O24" sqref="O24"/>
      <pageMargins left="0.7" right="0.7" top="0.75" bottom="0.75" header="0.3" footer="0.3"/>
      <pageSetup paperSize="9" orientation="portrait" horizontalDpi="0" verticalDpi="0" r:id="rId1"/>
    </customSheetView>
  </customSheetViews>
  <mergeCells count="51">
    <mergeCell ref="R1:T1"/>
    <mergeCell ref="R2:S2"/>
    <mergeCell ref="R3:S3"/>
    <mergeCell ref="R4:S4"/>
    <mergeCell ref="I32:J32"/>
    <mergeCell ref="N5:O5"/>
    <mergeCell ref="A27:O28"/>
    <mergeCell ref="A6:A9"/>
    <mergeCell ref="N18:O18"/>
    <mergeCell ref="L30:P30"/>
    <mergeCell ref="F31:G31"/>
    <mergeCell ref="N12:O12"/>
    <mergeCell ref="N9:O9"/>
    <mergeCell ref="I31:J31"/>
    <mergeCell ref="I1:J1"/>
    <mergeCell ref="E1:G1"/>
    <mergeCell ref="A67:G69"/>
    <mergeCell ref="A58:G59"/>
    <mergeCell ref="A64:G66"/>
    <mergeCell ref="A60:G60"/>
    <mergeCell ref="A51:G54"/>
    <mergeCell ref="F32:G32"/>
    <mergeCell ref="L32:M32"/>
    <mergeCell ref="N32:O32"/>
    <mergeCell ref="F43:G43"/>
    <mergeCell ref="F38:G38"/>
    <mergeCell ref="F33:G33"/>
    <mergeCell ref="F34:G34"/>
    <mergeCell ref="F37:G37"/>
    <mergeCell ref="F36:G36"/>
    <mergeCell ref="F41:G41"/>
    <mergeCell ref="F42:G42"/>
    <mergeCell ref="E2:G2"/>
    <mergeCell ref="E3:G3"/>
    <mergeCell ref="E4:G4"/>
    <mergeCell ref="I4:J4"/>
    <mergeCell ref="I2:J2"/>
    <mergeCell ref="I3:J3"/>
    <mergeCell ref="H6:K9"/>
    <mergeCell ref="V10:Y11"/>
    <mergeCell ref="V6:Y6"/>
    <mergeCell ref="V14:Y15"/>
    <mergeCell ref="O65:P65"/>
    <mergeCell ref="Q65:R65"/>
    <mergeCell ref="L49:Q50"/>
    <mergeCell ref="T32:U32"/>
    <mergeCell ref="Q6:T6"/>
    <mergeCell ref="Q10:T11"/>
    <mergeCell ref="Q14:T15"/>
    <mergeCell ref="I34:J34"/>
    <mergeCell ref="I36:J36"/>
  </mergeCells>
  <pageMargins left="0.7" right="0.7" top="0.75" bottom="0.75" header="0.3" footer="0.3"/>
  <pageSetup paperSize="9" orientation="portrait" horizontalDpi="0" verticalDpi="0" r:id="rId2"/>
  <drawing r:id="rId3"/>
  <legacyDrawing r:id="rId4"/>
  <controls>
    <mc:AlternateContent xmlns:mc="http://schemas.openxmlformats.org/markup-compatibility/2006">
      <mc:Choice Requires="x14">
        <control shapeId="23" r:id="rId5" name="CommandButton1">
          <controlPr defaultSize="0" autoLine="0" autoPict="0" r:id="rId6">
            <anchor moveWithCells="1">
              <from>
                <xdr:col>0</xdr:col>
                <xdr:colOff>3019425</xdr:colOff>
                <xdr:row>15</xdr:row>
                <xdr:rowOff>85725</xdr:rowOff>
              </from>
              <to>
                <xdr:col>1</xdr:col>
                <xdr:colOff>19050</xdr:colOff>
                <xdr:row>17</xdr:row>
                <xdr:rowOff>9525</xdr:rowOff>
              </to>
            </anchor>
          </controlPr>
        </control>
      </mc:Choice>
      <mc:Fallback>
        <control shapeId="4104" r:id="rId5" name="CommandButton1"/>
      </mc:Fallback>
    </mc:AlternateContent>
    <mc:AlternateContent xmlns:mc="http://schemas.openxmlformats.org/markup-compatibility/2006">
      <mc:Choice Requires="x14">
        <control shapeId="21" r:id="rId7" name="CommandButton2">
          <controlPr defaultSize="0" autoLine="0" r:id="rId8">
            <anchor moveWithCells="1">
              <from>
                <xdr:col>1</xdr:col>
                <xdr:colOff>85725</xdr:colOff>
                <xdr:row>15</xdr:row>
                <xdr:rowOff>85725</xdr:rowOff>
              </from>
              <to>
                <xdr:col>2</xdr:col>
                <xdr:colOff>57150</xdr:colOff>
                <xdr:row>17</xdr:row>
                <xdr:rowOff>0</xdr:rowOff>
              </to>
            </anchor>
          </controlPr>
        </control>
      </mc:Choice>
      <mc:Fallback>
        <control shapeId="4105" r:id="rId7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C127"/>
  <sheetViews>
    <sheetView showGridLines="0" zoomScale="40" zoomScaleNormal="40" workbookViewId="0">
      <selection activeCell="N42" sqref="N42"/>
    </sheetView>
  </sheetViews>
  <sheetFormatPr baseColWidth="10" defaultRowHeight="15" x14ac:dyDescent="0.25"/>
  <cols>
    <col min="1" max="1" width="44.5703125" customWidth="1"/>
    <col min="4" max="4" width="7" customWidth="1"/>
    <col min="5" max="5" width="10.5703125" customWidth="1"/>
    <col min="6" max="6" width="13.7109375" customWidth="1"/>
    <col min="8" max="9" width="12" customWidth="1"/>
    <col min="10" max="10" width="31" customWidth="1"/>
    <col min="11" max="11" width="7.140625" customWidth="1"/>
    <col min="12" max="12" width="14.7109375" customWidth="1"/>
    <col min="13" max="13" width="26.28515625" customWidth="1"/>
    <col min="14" max="14" width="44.140625" customWidth="1"/>
    <col min="15" max="15" width="15.140625" bestFit="1" customWidth="1"/>
    <col min="16" max="16" width="11.85546875" bestFit="1" customWidth="1"/>
    <col min="17" max="17" width="16.7109375" bestFit="1" customWidth="1"/>
    <col min="18" max="19" width="11.85546875" bestFit="1" customWidth="1"/>
    <col min="20" max="20" width="22.7109375" customWidth="1"/>
    <col min="21" max="21" width="13.140625" customWidth="1"/>
    <col min="22" max="22" width="11.42578125" style="134"/>
    <col min="23" max="23" width="11.28515625" customWidth="1"/>
    <col min="24" max="24" width="16.28515625" customWidth="1"/>
    <col min="25" max="25" width="11.5703125" bestFit="1" customWidth="1"/>
    <col min="26" max="27" width="11.5703125" customWidth="1"/>
    <col min="28" max="28" width="13.42578125" bestFit="1" customWidth="1"/>
    <col min="31" max="31" width="11.5703125" bestFit="1" customWidth="1"/>
  </cols>
  <sheetData>
    <row r="1" spans="1:27" ht="18.75" x14ac:dyDescent="0.3">
      <c r="E1" s="222" t="s">
        <v>192</v>
      </c>
      <c r="F1" s="223"/>
      <c r="G1" s="224"/>
      <c r="I1" s="225" t="str">
        <f>IF(B19="no","V DE FASE=V DE CARGA",IF(B19="si","V DE FASE GEN.",""))</f>
        <v>V DE FASE GEN.</v>
      </c>
      <c r="J1" s="225"/>
      <c r="L1" s="207" t="str">
        <f>IF(B19="si","V DE CARGA","")</f>
        <v>V DE CARGA</v>
      </c>
      <c r="M1" s="208"/>
      <c r="N1" s="209"/>
      <c r="O1" s="30" t="s">
        <v>9</v>
      </c>
      <c r="P1" s="30" t="s">
        <v>10</v>
      </c>
      <c r="Q1" s="43"/>
      <c r="R1" s="9"/>
      <c r="S1" s="9"/>
      <c r="T1" s="9"/>
      <c r="U1" s="9"/>
      <c r="V1" s="9"/>
      <c r="W1" s="57" t="s">
        <v>72</v>
      </c>
      <c r="X1" s="57" t="s">
        <v>208</v>
      </c>
      <c r="Y1" s="57"/>
    </row>
    <row r="2" spans="1:27" ht="21" x14ac:dyDescent="0.35">
      <c r="A2" s="40" t="s">
        <v>40</v>
      </c>
      <c r="B2" s="34" t="s">
        <v>195</v>
      </c>
      <c r="E2" s="198" t="str">
        <f>IF(B2="directa",CONCATENATE("Vac= ",B5,"*e^150ºj"),IF(B2="indirecta",CONCATENATE("Vac=",B5,"*e^30ºj"),"coloque sec."))</f>
        <v>Vac= 380*e^150ºj</v>
      </c>
      <c r="F2" s="199"/>
      <c r="G2" s="200"/>
      <c r="I2" s="201" t="str">
        <f>IF(B2="directa",CONCATENATE("Van=",Q32,"*e^","0ºj"),IF(B2="indirecta",CONCATENATE("Van=",Q32,"*e^","0ºj"),"coloque secuencia"))</f>
        <v>Van=219,393102292058*e^0ºj</v>
      </c>
      <c r="J2" s="201"/>
      <c r="L2" s="201" t="str">
        <f>IF(B19="si",CONCATENATE("Vz1 o Vao=",ROUND(P90,3),IF(Q90&gt;0,CONCATENATE("+ ",ROUND(Q90,3),"*j"),CONCATENATE(ROUND(Q90,3),"*j"))),IF(B19="no","",""))</f>
        <v>Vz1 o Vao=243,7710*j</v>
      </c>
      <c r="M2" s="201"/>
      <c r="N2" s="121" t="str">
        <f>IF(B19="si",CONCATENATE("Vz1 o Vao= ",ROUND(S90,3),"*e^",ROUND(T90,3),"*j"),IF(B19="no","",""))</f>
        <v>Vz1 o Vao= 243,771*e^0*j</v>
      </c>
      <c r="O2" s="33"/>
      <c r="P2" s="33"/>
      <c r="Q2" s="43"/>
      <c r="R2" s="9"/>
      <c r="S2" s="9"/>
      <c r="T2" s="9"/>
      <c r="U2" s="9"/>
      <c r="V2" s="9" t="s">
        <v>43</v>
      </c>
      <c r="W2" s="57">
        <f>+R4*COS(RADIANS(S4))</f>
        <v>12.188544003491801</v>
      </c>
      <c r="X2" s="57">
        <f>+R4*SIN(RADIANS(S4))</f>
        <v>0</v>
      </c>
      <c r="Y2" s="57"/>
      <c r="Z2" s="9"/>
      <c r="AA2" s="9"/>
    </row>
    <row r="3" spans="1:27" ht="21" x14ac:dyDescent="0.35">
      <c r="A3" s="33"/>
      <c r="E3" s="198" t="str">
        <f>IF(B2="directa",CONCATENATE("Vab= ",B5,"*e^30ºj"),IF(B2="indirecta",CONCATENATE("Vab=",B5,"*e^150ºj"),"coloque sec."))</f>
        <v>Vab= 380*e^30ºj</v>
      </c>
      <c r="F3" s="199"/>
      <c r="G3" s="200"/>
      <c r="I3" s="201" t="str">
        <f>IF(B2="directa",CONCATENATE("Vbn=",Q32,"*e^","240ºj"),IF(B2="indirecta",CONCATENATE("Vbn=",Q32,"*e^","120ºj"),"coloque secuencia"))</f>
        <v>Vbn=219,393102292058*e^240ºj</v>
      </c>
      <c r="J3" s="201"/>
      <c r="L3" s="201" t="str">
        <f>IF(B19="si",CONCATENATE("Vz2 o Vbo=",ROUND(P91,3),IF(Q91&gt;0,CONCATENATE("+ ",ROUND(Q91,3),"*j"),CONCATENATE(ROUND(Q91,3),"*j"))),IF(B19="no","",""))</f>
        <v>Vz2 o Vbo=-85,319-190*j</v>
      </c>
      <c r="M3" s="201"/>
      <c r="N3" s="121" t="str">
        <f>IF(B19="si",CONCATENATE("Vz2 o Vbo= ",ROUND(S91,3),"*e^",ROUND(T91,3),"*j"),IF(B19="no","",""))</f>
        <v>Vz2 o Vbo= 208,277*e^-114,182*j</v>
      </c>
      <c r="O3" s="33"/>
      <c r="P3" s="33"/>
      <c r="Q3" s="43"/>
      <c r="R3" s="9"/>
      <c r="S3" s="9"/>
      <c r="T3" s="9"/>
      <c r="U3" s="9"/>
      <c r="V3" s="9" t="s">
        <v>42</v>
      </c>
      <c r="W3" s="57">
        <f>R8*COS(RADIANS(S8))</f>
        <v>-8.5317838147346663</v>
      </c>
      <c r="X3" s="57">
        <f>R8*SIN(RADIANS(S8))</f>
        <v>19.000041995460467</v>
      </c>
      <c r="Y3" s="57"/>
      <c r="Z3" s="9"/>
      <c r="AA3" s="9"/>
    </row>
    <row r="4" spans="1:27" ht="21" x14ac:dyDescent="0.35">
      <c r="E4" s="198" t="str">
        <f>IF(B2="directa",CONCATENATE("Vbc= ",B5,"*e^270ºj"),IF(B2="indirecta",CONCATENATE("Vbc=",B5,"*e^270ºj"),"coloque sec."))</f>
        <v>Vbc= 380*e^270ºj</v>
      </c>
      <c r="F4" s="199"/>
      <c r="G4" s="200"/>
      <c r="I4" s="201" t="str">
        <f>IF(B2="directa",CONCATENATE("Vcn=",Q32,"*e^","120ºj"),IF(B2="indirecta",CONCATENATE("Vcn=",Q32,"*e^","240ºj"),"coloque secuencia"))</f>
        <v>Vcn=219,393102292058*e^120ºj</v>
      </c>
      <c r="J4" s="201"/>
      <c r="L4" s="201" t="str">
        <f>IF(B19="si",CONCATENATE("Vz3 o Vco=",ROUND(P92,3),IF(Q92&gt;0,CONCATENATE("+ ",ROUND(Q92,3),"*j"),CONCATENATE(ROUND(Q92,3),"*j"))),IF(B19="no","",""))</f>
        <v>Vz3 o Vco=-85,319+ 190*j</v>
      </c>
      <c r="M4" s="201"/>
      <c r="N4" s="121" t="str">
        <f>IF(B19="si",CONCATENATE("Vz3 o Vco= ",ROUND(S92,3),"*e^",ROUND(T92,3),"*j"),IF(B19="no","",""))</f>
        <v>Vz3 o Vco= 208,277*e^114,182*j</v>
      </c>
      <c r="O4" s="33"/>
      <c r="P4" s="33"/>
      <c r="Q4" s="43"/>
      <c r="R4" s="4">
        <f>R5</f>
        <v>12.188544003491801</v>
      </c>
      <c r="S4" s="4">
        <f>ROUND(S5,3)</f>
        <v>0</v>
      </c>
      <c r="T4" s="9"/>
      <c r="U4" s="9"/>
      <c r="V4" s="9" t="s">
        <v>41</v>
      </c>
      <c r="W4" s="57">
        <f>R12*COS(RADIANS(S12))</f>
        <v>-8.5317838147346698</v>
      </c>
      <c r="X4" s="57">
        <f>R12*SIN(RADIANS(S12))</f>
        <v>-19.000041995460478</v>
      </c>
      <c r="Y4" s="57"/>
      <c r="Z4" s="9"/>
      <c r="AA4" s="9"/>
    </row>
    <row r="5" spans="1:27" ht="15.75" x14ac:dyDescent="0.25">
      <c r="A5" s="52" t="s">
        <v>70</v>
      </c>
      <c r="B5" s="35">
        <v>380</v>
      </c>
      <c r="O5" s="221" t="s">
        <v>228</v>
      </c>
      <c r="P5" s="221"/>
      <c r="Q5" s="43"/>
      <c r="R5" s="4">
        <f>S90/O6</f>
        <v>12.188544003491801</v>
      </c>
      <c r="S5" s="4">
        <f>T90-(P6)</f>
        <v>-7.019782199513785E-16</v>
      </c>
      <c r="T5" s="9"/>
      <c r="U5" s="9"/>
      <c r="V5" s="9"/>
      <c r="W5" s="158" t="str">
        <f>COMPLEX(ROUND(W2,3),ROUND(X2,3))</f>
        <v>12,189</v>
      </c>
      <c r="X5" s="57">
        <f>IMABS(W5)</f>
        <v>12.189</v>
      </c>
      <c r="Y5" s="9">
        <f>DEGREES(IMARGUMENT(W5))</f>
        <v>0</v>
      </c>
      <c r="Z5" s="9"/>
      <c r="AA5" s="9"/>
    </row>
    <row r="6" spans="1:27" ht="23.25" x14ac:dyDescent="0.35">
      <c r="A6" s="212"/>
      <c r="O6" s="30">
        <v>20</v>
      </c>
      <c r="P6" s="30">
        <v>0</v>
      </c>
      <c r="Q6" s="43"/>
      <c r="R6" s="192" t="str">
        <f>CONCATENATE("Iz1 o Ia= ",ROUND(R4,3),"*e^",S4,"º*j")</f>
        <v>Iz1 o Ia= 12,189*e^0º*j</v>
      </c>
      <c r="S6" s="192"/>
      <c r="T6" s="192"/>
      <c r="U6" s="192"/>
      <c r="V6" s="43"/>
      <c r="W6" s="197" t="str">
        <f>CONCATENATE("Iz1 o Ia=",COMPLEX(ROUND(W2,3),ROUND(X2,3)))</f>
        <v>Iz1 o Ia=12,189</v>
      </c>
      <c r="X6" s="197"/>
      <c r="Y6" s="197"/>
      <c r="Z6" s="197"/>
      <c r="AA6" s="157"/>
    </row>
    <row r="7" spans="1:27" x14ac:dyDescent="0.25">
      <c r="A7" s="212"/>
      <c r="O7" s="31"/>
      <c r="P7" s="31"/>
      <c r="Q7" s="43"/>
      <c r="R7" s="9"/>
      <c r="S7" s="9"/>
      <c r="T7" s="9"/>
      <c r="U7" s="9"/>
      <c r="V7" s="43"/>
      <c r="W7" s="43"/>
      <c r="X7" s="43"/>
      <c r="Y7" s="43"/>
      <c r="Z7" s="43"/>
      <c r="AA7" s="43"/>
    </row>
    <row r="8" spans="1:27" x14ac:dyDescent="0.25">
      <c r="A8" s="212"/>
      <c r="O8" s="31"/>
      <c r="P8" s="31"/>
      <c r="Q8" s="43"/>
      <c r="R8" s="57">
        <f>R9</f>
        <v>20.827696245399533</v>
      </c>
      <c r="S8" s="57">
        <f>ROUND(S9,3)</f>
        <v>114.182</v>
      </c>
      <c r="T8" s="9"/>
      <c r="U8" s="9"/>
      <c r="V8" s="43"/>
      <c r="W8" s="9"/>
      <c r="X8" s="9" t="s">
        <v>90</v>
      </c>
      <c r="Y8" s="9" t="s">
        <v>91</v>
      </c>
      <c r="Z8" s="43"/>
      <c r="AA8" s="43"/>
    </row>
    <row r="9" spans="1:27" x14ac:dyDescent="0.25">
      <c r="A9" s="212"/>
      <c r="O9" s="219" t="s">
        <v>226</v>
      </c>
      <c r="P9" s="220"/>
      <c r="Q9" s="43"/>
      <c r="R9" s="57">
        <f>S92/O10</f>
        <v>20.827696245399533</v>
      </c>
      <c r="S9" s="57">
        <f>T92-(P10)</f>
        <v>114.18228202185007</v>
      </c>
      <c r="T9" s="9"/>
      <c r="U9" s="9"/>
      <c r="V9" s="43"/>
      <c r="W9" s="9" t="str">
        <f>COMPLEX(ROUND(W3,3),ROUND(X3,3))</f>
        <v>-8,532+19i</v>
      </c>
      <c r="X9" s="9">
        <f>IMABS(W9)</f>
        <v>20.827746493559978</v>
      </c>
      <c r="Y9" s="9">
        <f>DEGREES(IMARGUMENT(W9))</f>
        <v>114.18258984899657</v>
      </c>
      <c r="Z9" s="43"/>
      <c r="AA9" s="43"/>
    </row>
    <row r="10" spans="1:27" ht="21" x14ac:dyDescent="0.35">
      <c r="C10" s="27" t="s">
        <v>39</v>
      </c>
      <c r="F10" s="28" t="str">
        <f>IF(B2=""," ",IF(B2="directa","Ir",IF(B2="indirecta","Ir"," ")))</f>
        <v>Ir</v>
      </c>
      <c r="K10" s="27" t="s">
        <v>39</v>
      </c>
      <c r="O10" s="30">
        <v>10</v>
      </c>
      <c r="P10" s="30">
        <v>0</v>
      </c>
      <c r="Q10" s="43"/>
      <c r="R10" s="192" t="str">
        <f>CONCATENATE("Iz3 o Ic= ",ROUND(R8,3),"*e^",S8,"º*j")</f>
        <v>Iz3 o Ic= 20,828*e^114,182º*j</v>
      </c>
      <c r="S10" s="192"/>
      <c r="T10" s="192"/>
      <c r="U10" s="192"/>
      <c r="V10" s="43"/>
      <c r="W10" s="197" t="str">
        <f>CONCATENATE("Iz3 o Ic =",COMPLEX(ROUND(W3,3),ROUND(X3,3)))</f>
        <v>Iz3 o Ic =-8,532+19i</v>
      </c>
      <c r="X10" s="197"/>
      <c r="Y10" s="197"/>
      <c r="Z10" s="197"/>
      <c r="AA10" s="157"/>
    </row>
    <row r="11" spans="1:27" ht="21" x14ac:dyDescent="0.35">
      <c r="A11" s="40" t="s">
        <v>45</v>
      </c>
      <c r="B11" s="35" t="s">
        <v>51</v>
      </c>
      <c r="O11" s="31"/>
      <c r="P11" s="32"/>
      <c r="Q11" s="43"/>
      <c r="R11" s="192"/>
      <c r="S11" s="192"/>
      <c r="T11" s="192"/>
      <c r="U11" s="192"/>
      <c r="V11" s="43"/>
      <c r="W11" s="197"/>
      <c r="X11" s="197"/>
      <c r="Y11" s="197"/>
      <c r="Z11" s="197"/>
      <c r="AA11" s="157"/>
    </row>
    <row r="12" spans="1:27" x14ac:dyDescent="0.25">
      <c r="A12" s="31"/>
      <c r="O12" s="221" t="s">
        <v>227</v>
      </c>
      <c r="P12" s="221"/>
      <c r="Q12" s="43"/>
      <c r="R12" s="57">
        <f>R13</f>
        <v>20.827696245399544</v>
      </c>
      <c r="S12" s="57">
        <f>ROUND(S13,3)</f>
        <v>-114.182</v>
      </c>
      <c r="T12" s="9"/>
      <c r="U12" s="9"/>
      <c r="V12" s="43"/>
      <c r="W12" s="9"/>
      <c r="X12" s="9" t="s">
        <v>90</v>
      </c>
      <c r="Y12" s="9" t="s">
        <v>91</v>
      </c>
      <c r="Z12" s="43"/>
      <c r="AA12" s="43"/>
    </row>
    <row r="13" spans="1:27" x14ac:dyDescent="0.25">
      <c r="O13" s="30">
        <v>10</v>
      </c>
      <c r="P13" s="42">
        <v>0</v>
      </c>
      <c r="Q13" s="43"/>
      <c r="R13" s="57">
        <f>S91/O13</f>
        <v>20.827696245399544</v>
      </c>
      <c r="S13" s="57">
        <f>T91-(P13)</f>
        <v>-114.18228202185011</v>
      </c>
      <c r="T13" s="9"/>
      <c r="U13" s="9"/>
      <c r="V13" s="43"/>
      <c r="W13" s="9" t="str">
        <f>COMPLEX(ROUND(W4,3),ROUND(X4,3))</f>
        <v>-8,532-19i</v>
      </c>
      <c r="X13" s="9">
        <f>IMABS(W13)</f>
        <v>20.827746493559978</v>
      </c>
      <c r="Y13" s="9">
        <f>DEGREES(IMARGUMENT(W13))</f>
        <v>-114.18258984899657</v>
      </c>
      <c r="Z13" s="43"/>
      <c r="AA13" s="43"/>
    </row>
    <row r="14" spans="1:27" ht="21" x14ac:dyDescent="0.35">
      <c r="A14" s="40" t="s">
        <v>69</v>
      </c>
      <c r="B14" s="35" t="s">
        <v>188</v>
      </c>
      <c r="Q14" s="43"/>
      <c r="R14" s="192" t="str">
        <f>CONCATENATE("Iz2 o Ib= ",ROUND(R12,3),"*e^",S12,"º*j")</f>
        <v>Iz2 o Ib= 20,828*e^-114,182º*j</v>
      </c>
      <c r="S14" s="192"/>
      <c r="T14" s="192"/>
      <c r="U14" s="192"/>
      <c r="V14" s="43"/>
      <c r="W14" s="197" t="str">
        <f>CONCATENATE("Iz2 o Ib=",COMPLEX(ROUND(W4,3),ROUND(X4,3)))</f>
        <v>Iz2 o Ib=-8,532-19i</v>
      </c>
      <c r="X14" s="197"/>
      <c r="Y14" s="197"/>
      <c r="Z14" s="197"/>
      <c r="AA14" s="157"/>
    </row>
    <row r="15" spans="1:27" ht="21" x14ac:dyDescent="0.35">
      <c r="Q15" s="43"/>
      <c r="R15" s="192"/>
      <c r="S15" s="192"/>
      <c r="T15" s="192"/>
      <c r="U15" s="192"/>
      <c r="V15" s="43"/>
      <c r="W15" s="197"/>
      <c r="X15" s="197"/>
      <c r="Y15" s="197"/>
      <c r="Z15" s="197"/>
      <c r="AA15" s="157"/>
    </row>
    <row r="16" spans="1:27" x14ac:dyDescent="0.25">
      <c r="K16" s="26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55" x14ac:dyDescent="0.25">
      <c r="A17" s="31"/>
      <c r="B17" s="58"/>
      <c r="C17" s="27" t="s">
        <v>198</v>
      </c>
      <c r="D17" s="28"/>
      <c r="L17" t="s">
        <v>199</v>
      </c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55" x14ac:dyDescent="0.25">
      <c r="O18" s="226" t="s">
        <v>197</v>
      </c>
      <c r="P18" s="226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55" x14ac:dyDescent="0.25">
      <c r="A19" s="40" t="s">
        <v>85</v>
      </c>
      <c r="B19" s="35" t="s">
        <v>51</v>
      </c>
      <c r="O19" s="42">
        <v>5</v>
      </c>
      <c r="P19" s="42">
        <v>0</v>
      </c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55" x14ac:dyDescent="0.25">
      <c r="A20" s="5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55" x14ac:dyDescent="0.25">
      <c r="A21" s="5"/>
      <c r="B21" s="51" t="str">
        <f>IF(B2="directa","c",IF(B2="indirecta","b",""))</f>
        <v>c</v>
      </c>
      <c r="E21" s="28" t="str">
        <f>IF(B2="directa","b",IF(B2="indirecta","c",""))</f>
        <v>b</v>
      </c>
      <c r="F21" s="29" t="str">
        <f>IF(B2=""," ",IF(B2="directa","Is",IF(B2="indirecta","It"," ")))</f>
        <v>Is</v>
      </c>
      <c r="J21" s="143" t="s">
        <v>206</v>
      </c>
      <c r="M21" t="s">
        <v>207</v>
      </c>
      <c r="Q21" s="120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55" x14ac:dyDescent="0.25">
      <c r="A22" s="5"/>
      <c r="B22" t="str">
        <f>IF(B2=""," ",IF(B2="directa","It",IF(B2="indirecta","Is"," ")))</f>
        <v>It</v>
      </c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55" x14ac:dyDescent="0.25">
      <c r="A23" s="9" t="s">
        <v>196</v>
      </c>
      <c r="P23" s="5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55" x14ac:dyDescent="0.25">
      <c r="A24" s="5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55" x14ac:dyDescent="0.25">
      <c r="A25" s="5"/>
      <c r="Q25" s="43"/>
      <c r="R25" s="43"/>
      <c r="S25" s="43"/>
      <c r="T25" s="43"/>
      <c r="U25" s="43"/>
      <c r="W25" s="43"/>
      <c r="X25" s="43"/>
    </row>
    <row r="26" spans="1:55" x14ac:dyDescent="0.25">
      <c r="A26" s="5"/>
    </row>
    <row r="27" spans="1:55" x14ac:dyDescent="0.25">
      <c r="A27" s="211" t="s">
        <v>46</v>
      </c>
      <c r="B27" s="211"/>
      <c r="C27" s="211"/>
      <c r="D27" s="211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</row>
    <row r="28" spans="1:55" x14ac:dyDescent="0.25">
      <c r="A28" s="211"/>
      <c r="B28" s="211"/>
      <c r="C28" s="211"/>
      <c r="D28" s="211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R28" s="9"/>
      <c r="S28" s="9"/>
      <c r="T28" s="9"/>
      <c r="U28" s="9"/>
      <c r="W28" s="9"/>
      <c r="X28" s="9"/>
      <c r="Y28" s="9"/>
      <c r="Z28" s="9"/>
      <c r="AA28" s="9"/>
    </row>
    <row r="29" spans="1:55" x14ac:dyDescent="0.25">
      <c r="K29" s="32"/>
      <c r="L29" s="113"/>
      <c r="M29" s="113"/>
      <c r="N29" s="113"/>
      <c r="O29" s="113"/>
      <c r="P29" s="113"/>
      <c r="Q29" s="113"/>
      <c r="R29" s="113"/>
      <c r="S29" s="113"/>
      <c r="T29" s="57"/>
      <c r="U29" s="57"/>
      <c r="V29" s="131"/>
      <c r="W29" s="57"/>
      <c r="X29" s="57"/>
      <c r="Y29" s="57"/>
      <c r="Z29" s="57"/>
      <c r="AA29" s="57"/>
      <c r="AB29" s="57"/>
      <c r="AC29" s="57"/>
      <c r="AD29" s="57"/>
      <c r="AE29" s="57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</row>
    <row r="30" spans="1:55" x14ac:dyDescent="0.25">
      <c r="K30" s="32"/>
      <c r="L30" s="229"/>
      <c r="M30" s="229"/>
      <c r="N30" s="229"/>
      <c r="O30" s="229"/>
      <c r="P30" s="229"/>
      <c r="Q30" s="229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31"/>
      <c r="AZ30" s="31"/>
      <c r="BA30" s="31"/>
      <c r="BB30" s="31"/>
      <c r="BC30" s="31"/>
    </row>
    <row r="31" spans="1:55" ht="21" x14ac:dyDescent="0.35">
      <c r="A31" s="37" t="s">
        <v>47</v>
      </c>
      <c r="B31" s="36"/>
      <c r="C31" s="36"/>
      <c r="F31" s="215" t="s">
        <v>59</v>
      </c>
      <c r="G31" s="215"/>
      <c r="H31" s="41"/>
      <c r="I31" s="215" t="s">
        <v>60</v>
      </c>
      <c r="J31" s="215"/>
      <c r="K31" s="32"/>
      <c r="L31" s="57"/>
      <c r="M31" s="57"/>
      <c r="N31" s="57"/>
      <c r="O31" s="57"/>
      <c r="P31" s="57"/>
      <c r="Q31" s="57" t="s">
        <v>95</v>
      </c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32"/>
      <c r="AN31" s="32"/>
      <c r="AO31" s="32"/>
      <c r="AP31" s="32"/>
      <c r="AQ31" s="113"/>
      <c r="AR31" s="113"/>
      <c r="AS31" s="113"/>
      <c r="AT31" s="113"/>
      <c r="AU31" s="113"/>
      <c r="AV31" s="113"/>
      <c r="AW31" s="113"/>
      <c r="AX31" s="113"/>
      <c r="AY31" s="31"/>
      <c r="AZ31" s="31"/>
      <c r="BA31" s="31"/>
      <c r="BB31" s="31"/>
      <c r="BC31" s="31"/>
    </row>
    <row r="32" spans="1:55" ht="23.25" x14ac:dyDescent="0.35">
      <c r="A32" s="38" t="s">
        <v>48</v>
      </c>
      <c r="E32" s="41"/>
      <c r="F32" s="202" t="e">
        <f>CONCATENATE("Pz1= ",U33,"W")</f>
        <v>#VALUE!</v>
      </c>
      <c r="G32" s="202"/>
      <c r="I32" s="197" t="e">
        <f>CONCATENATE("Ptrif.=",U38,"W")</f>
        <v>#VALUE!</v>
      </c>
      <c r="J32" s="197"/>
      <c r="K32" s="32"/>
      <c r="L32" s="195"/>
      <c r="M32" s="195"/>
      <c r="N32" s="130"/>
      <c r="O32" s="195"/>
      <c r="P32" s="195"/>
      <c r="Q32" s="57">
        <f>(B5/SQRT(3))</f>
        <v>219.39310229205779</v>
      </c>
      <c r="R32" s="57"/>
      <c r="S32" s="57" t="s">
        <v>64</v>
      </c>
      <c r="T32" s="57"/>
      <c r="U32" s="195" t="s">
        <v>65</v>
      </c>
      <c r="V32" s="195"/>
      <c r="W32" s="57"/>
      <c r="X32" s="57" t="s">
        <v>66</v>
      </c>
      <c r="Y32" s="57"/>
      <c r="Z32" s="57" t="s">
        <v>68</v>
      </c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32"/>
      <c r="AN32" s="32"/>
      <c r="AO32" s="32"/>
      <c r="AP32" s="32"/>
      <c r="AQ32" s="113"/>
      <c r="AR32" s="113"/>
      <c r="AS32" s="113"/>
      <c r="AT32" s="113"/>
      <c r="AU32" s="113"/>
      <c r="AV32" s="113"/>
      <c r="AW32" s="113"/>
      <c r="AX32" s="113"/>
      <c r="AY32" s="131"/>
      <c r="AZ32" s="131"/>
      <c r="BA32" s="31"/>
      <c r="BB32" s="31"/>
      <c r="BC32" s="31"/>
    </row>
    <row r="33" spans="1:55" ht="28.5" x14ac:dyDescent="0.45">
      <c r="A33" s="132" t="str">
        <f>CONCATENATE("Ir= ",W6)</f>
        <v>Ir= Iz1 o Ia=12,189</v>
      </c>
      <c r="F33" s="202" t="str">
        <f>CONCATENATE("Pz2= ",U36,"W")</f>
        <v>Pz2= 4337,929W</v>
      </c>
      <c r="G33" s="202"/>
      <c r="K33" s="32"/>
      <c r="L33" s="57"/>
      <c r="M33" s="57"/>
      <c r="N33" s="57"/>
      <c r="O33" s="57"/>
      <c r="P33" s="57"/>
      <c r="Q33" s="57"/>
      <c r="R33" s="57"/>
      <c r="S33" s="57" t="s">
        <v>255</v>
      </c>
      <c r="T33" s="57" t="s">
        <v>61</v>
      </c>
      <c r="U33" s="57" t="e">
        <f>ROUND(S33,3)</f>
        <v>#VALUE!</v>
      </c>
      <c r="V33" s="57"/>
      <c r="W33" s="57">
        <f>S90*R5*SIN(RADIANS(P6))</f>
        <v>0</v>
      </c>
      <c r="X33" s="57">
        <f>ROUND(W33,3)</f>
        <v>0</v>
      </c>
      <c r="Y33" s="57"/>
      <c r="Z33" s="57" t="e">
        <f>ROUND(SQRT((S33*S33)+(W33*W33)),3)</f>
        <v>#VALUE!</v>
      </c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32"/>
      <c r="AN33" s="32"/>
      <c r="AO33" s="32"/>
      <c r="AP33" s="32"/>
      <c r="AQ33" s="113"/>
      <c r="AR33" s="113"/>
      <c r="AS33" s="113"/>
      <c r="AT33" s="113"/>
      <c r="AU33" s="113"/>
      <c r="AV33" s="113"/>
      <c r="AW33" s="113"/>
      <c r="AX33" s="113"/>
      <c r="AY33" s="131"/>
      <c r="AZ33" s="131"/>
      <c r="BA33" s="31"/>
      <c r="BB33" s="31"/>
      <c r="BC33" s="31"/>
    </row>
    <row r="34" spans="1:55" ht="23.25" x14ac:dyDescent="0.35">
      <c r="A34" s="39" t="str">
        <f>CONCATENATE("Ir= ",ROUND(X5,3),"*e^",ROUND(Y5,3),"º*j")</f>
        <v>Ir= 12,189*e^0º*j</v>
      </c>
      <c r="F34" s="118"/>
      <c r="G34" s="118"/>
      <c r="K34" s="32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32"/>
      <c r="AN34" s="32"/>
      <c r="AO34" s="32"/>
      <c r="AP34" s="32"/>
      <c r="AQ34" s="113"/>
      <c r="AR34" s="113"/>
      <c r="AS34" s="113"/>
      <c r="AT34" s="113"/>
      <c r="AU34" s="113"/>
      <c r="AV34" s="113"/>
      <c r="AW34" s="113"/>
      <c r="AX34" s="113"/>
      <c r="AY34" s="131"/>
      <c r="AZ34" s="131"/>
      <c r="BA34" s="31"/>
      <c r="BB34" s="31"/>
      <c r="BC34" s="31"/>
    </row>
    <row r="35" spans="1:55" s="31" customFormat="1" ht="23.25" x14ac:dyDescent="0.35">
      <c r="A35" s="116"/>
      <c r="F35" s="140"/>
      <c r="G35" s="140"/>
      <c r="K35" s="32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32"/>
      <c r="AN35" s="32"/>
      <c r="AO35" s="32"/>
      <c r="AP35" s="32"/>
      <c r="AQ35" s="113"/>
      <c r="AR35" s="113"/>
      <c r="AS35" s="113"/>
      <c r="AT35" s="113"/>
      <c r="AU35" s="113"/>
      <c r="AV35" s="113"/>
      <c r="AW35" s="113"/>
      <c r="AX35" s="113"/>
      <c r="AY35" s="131"/>
      <c r="AZ35" s="131"/>
    </row>
    <row r="36" spans="1:55" ht="23.25" x14ac:dyDescent="0.35">
      <c r="F36" s="192" t="str">
        <f>CONCATENATE("Pz3= ",U37,"W")</f>
        <v>Pz3= 4337,929W</v>
      </c>
      <c r="G36" s="192"/>
      <c r="I36" s="197" t="str">
        <f>CONCATENATE("Qtrif.=",X38,"VAR")</f>
        <v>Qtrif.=0VAR</v>
      </c>
      <c r="J36" s="197"/>
      <c r="K36" s="32"/>
      <c r="L36" s="57"/>
      <c r="M36" s="57"/>
      <c r="N36" s="57"/>
      <c r="O36" s="57"/>
      <c r="P36" s="57"/>
      <c r="Q36" s="57"/>
      <c r="R36" s="57"/>
      <c r="S36" s="57">
        <f>IF(B2="directa",S92*R13*COS(RADIANS(P13)),IF(B2="indirecta",S91*R13*COS(RADIANS(P13)),"coloque sec."))</f>
        <v>4337.9293089063003</v>
      </c>
      <c r="T36" s="57" t="s">
        <v>62</v>
      </c>
      <c r="U36" s="57">
        <f t="shared" ref="U36:U37" si="0">ROUND(S36,3)</f>
        <v>4337.9290000000001</v>
      </c>
      <c r="V36" s="57"/>
      <c r="W36" s="57">
        <f>IF(B2="directa",S92*R13*SIN(RADIANS(P13)),IF(B2="indirecta",S91*R13*SIN(RADIANS(P13)),"coloque sec."))</f>
        <v>0</v>
      </c>
      <c r="X36" s="57">
        <f t="shared" ref="X36:X37" si="1">ROUND(W36,3)</f>
        <v>0</v>
      </c>
      <c r="Y36" s="57"/>
      <c r="Z36" s="57">
        <f t="shared" ref="Z36" si="2">ROUND(SQRT((S36*S36)+(W36*W36)),3)</f>
        <v>4337.9290000000001</v>
      </c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32"/>
      <c r="AN36" s="32"/>
      <c r="AO36" s="32"/>
      <c r="AP36" s="32"/>
      <c r="AQ36" s="113"/>
      <c r="AR36" s="113"/>
      <c r="AS36" s="113"/>
      <c r="AT36" s="113"/>
      <c r="AU36" s="113"/>
      <c r="AV36" s="113"/>
      <c r="AW36" s="113"/>
      <c r="AX36" s="113"/>
      <c r="AY36" s="131"/>
      <c r="AZ36" s="131"/>
      <c r="BA36" s="31"/>
      <c r="BB36" s="31"/>
      <c r="BC36" s="31"/>
    </row>
    <row r="37" spans="1:55" ht="23.25" x14ac:dyDescent="0.25">
      <c r="A37" s="38" t="s">
        <v>50</v>
      </c>
      <c r="K37" s="32"/>
      <c r="L37" s="57"/>
      <c r="M37" s="57"/>
      <c r="N37" s="57"/>
      <c r="O37" s="57"/>
      <c r="P37" s="57"/>
      <c r="Q37" s="57"/>
      <c r="R37" s="57"/>
      <c r="S37" s="57">
        <f>IF(B2="directa",S91*R9*COS(RADIANS(P10)),IF(B2="indirecta",S92*R9*COS(RADIANS(P10)),"coloque sec."))</f>
        <v>4337.9293089063003</v>
      </c>
      <c r="T37" s="57" t="s">
        <v>63</v>
      </c>
      <c r="U37" s="57">
        <f t="shared" si="0"/>
        <v>4337.9290000000001</v>
      </c>
      <c r="V37" s="57"/>
      <c r="W37" s="57">
        <f>IF(B2="directa",S91*R9*SIN(RADIANS(P10)),IF(B2="indirecta",S92*R9*SIN(RADIANS(P10)),"coloque sec."))</f>
        <v>0</v>
      </c>
      <c r="X37" s="57">
        <f t="shared" si="1"/>
        <v>0</v>
      </c>
      <c r="Y37" s="57"/>
      <c r="Z37" s="57">
        <f>ROUND(SQRT((S37*S37)+(W37*W37)),3)</f>
        <v>4337.9290000000001</v>
      </c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32"/>
      <c r="AN37" s="32"/>
      <c r="AO37" s="32"/>
      <c r="AP37" s="32"/>
      <c r="AQ37" s="113"/>
      <c r="AR37" s="113"/>
      <c r="AS37" s="113"/>
      <c r="AT37" s="113"/>
      <c r="AU37" s="113"/>
      <c r="AV37" s="113"/>
      <c r="AW37" s="113"/>
      <c r="AX37" s="113"/>
      <c r="AY37" s="131"/>
      <c r="AZ37" s="131"/>
      <c r="BA37" s="31"/>
      <c r="BB37" s="31"/>
      <c r="BC37" s="31"/>
    </row>
    <row r="38" spans="1:55" ht="28.5" x14ac:dyDescent="0.45">
      <c r="A38" s="132" t="str">
        <f>IF(B2="directa",CONCATENATE("Is= ",W10),IF(B2="indirecta",W14,"coloque secuencia"))</f>
        <v>Is= Iz3 o Ic =-8,532+19i</v>
      </c>
      <c r="B38" s="134"/>
      <c r="C38" s="134"/>
      <c r="D38" s="134"/>
      <c r="F38" s="202" t="str">
        <f>CONCATENATE("Qz1= ",X33,"VAR")</f>
        <v>Qz1= 0VAR</v>
      </c>
      <c r="G38" s="202"/>
      <c r="I38" s="197" t="e">
        <f>CONCATENATE("Strif.=",ROUND(SQRT((U38*U38)+(X38*X38)),3),"VA")</f>
        <v>#VALUE!</v>
      </c>
      <c r="J38" s="197"/>
      <c r="K38" s="32"/>
      <c r="L38" s="57"/>
      <c r="M38" s="57"/>
      <c r="N38" s="57"/>
      <c r="O38" s="57"/>
      <c r="P38" s="57"/>
      <c r="Q38" s="57"/>
      <c r="R38" s="57"/>
      <c r="S38" s="57"/>
      <c r="T38" s="57"/>
      <c r="U38" s="57" t="e">
        <f>ROUND(SUM(U33:U37),3)</f>
        <v>#VALUE!</v>
      </c>
      <c r="V38" s="57"/>
      <c r="W38" s="57"/>
      <c r="X38" s="57">
        <f>ROUND(SUM(X33:X37),3)</f>
        <v>0</v>
      </c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32"/>
      <c r="AN38" s="32"/>
      <c r="AO38" s="32"/>
      <c r="AP38" s="32"/>
      <c r="AQ38" s="113"/>
      <c r="AR38" s="113"/>
      <c r="AS38" s="113"/>
      <c r="AT38" s="113"/>
      <c r="AU38" s="113"/>
      <c r="AV38" s="113"/>
      <c r="AW38" s="113"/>
      <c r="AX38" s="113"/>
      <c r="AY38" s="131"/>
      <c r="AZ38" s="131"/>
      <c r="BA38" s="31"/>
      <c r="BB38" s="31"/>
      <c r="BC38" s="31"/>
    </row>
    <row r="39" spans="1:55" ht="28.5" x14ac:dyDescent="0.45">
      <c r="A39" s="132" t="str">
        <f>IF(B2="directa",CONCATENATE("Is= ",ROUND(X9,3),"*e^",ROUND(Y9,3)),IF(B2="indirecta",CONCATENATE("Is= ",ROUND(X13,3),"*e^",ROUND(Y13,3)),"coloque secuencia"))</f>
        <v>Is= 20,828*e^114,183</v>
      </c>
      <c r="B39" s="134"/>
      <c r="C39" s="134"/>
      <c r="D39" s="134"/>
      <c r="F39" s="128"/>
      <c r="G39" s="128"/>
      <c r="I39" s="127"/>
      <c r="J39" s="127"/>
      <c r="K39" s="32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32"/>
      <c r="AN39" s="32"/>
      <c r="AO39" s="32"/>
      <c r="AP39" s="32"/>
      <c r="AQ39" s="113"/>
      <c r="AR39" s="113"/>
      <c r="AS39" s="113"/>
      <c r="AT39" s="113"/>
      <c r="AU39" s="113"/>
      <c r="AV39" s="113"/>
      <c r="AW39" s="113"/>
      <c r="AX39" s="113"/>
      <c r="AY39" s="131"/>
      <c r="AZ39" s="131"/>
      <c r="BA39" s="31"/>
      <c r="BB39" s="31"/>
      <c r="BC39" s="31"/>
    </row>
    <row r="40" spans="1:55" ht="33.75" customHeight="1" x14ac:dyDescent="0.35">
      <c r="A40" s="5"/>
      <c r="B40" s="134"/>
      <c r="C40" s="134"/>
      <c r="D40" s="134"/>
      <c r="F40" s="202" t="str">
        <f>CONCATENATE("Qz2= ",X36,"VAR")</f>
        <v>Qz2= 0VAR</v>
      </c>
      <c r="G40" s="202"/>
      <c r="K40" s="32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32"/>
      <c r="AN40" s="32"/>
      <c r="AO40" s="32"/>
      <c r="AP40" s="32"/>
      <c r="AQ40" s="113"/>
      <c r="AR40" s="113"/>
      <c r="AS40" s="113"/>
      <c r="AT40" s="113"/>
      <c r="AU40" s="113"/>
      <c r="AV40" s="113"/>
      <c r="AW40" s="113"/>
      <c r="AX40" s="113"/>
      <c r="AY40" s="131"/>
      <c r="AZ40" s="131"/>
      <c r="BA40" s="31"/>
      <c r="BB40" s="31"/>
      <c r="BC40" s="31"/>
    </row>
    <row r="41" spans="1:55" ht="23.25" x14ac:dyDescent="0.35">
      <c r="A41" s="38" t="s">
        <v>49</v>
      </c>
      <c r="B41" s="134"/>
      <c r="C41" s="134"/>
      <c r="D41" s="134"/>
      <c r="F41" s="202" t="str">
        <f>CONCATENATE("Qz3= ",X37,"VAR")</f>
        <v>Qz3= 0VAR</v>
      </c>
      <c r="G41" s="202"/>
      <c r="K41" s="32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32"/>
      <c r="AN41" s="32"/>
      <c r="AO41" s="32"/>
      <c r="AP41" s="32"/>
      <c r="AQ41" s="113"/>
      <c r="AR41" s="113"/>
      <c r="AS41" s="113"/>
      <c r="AT41" s="113"/>
      <c r="AU41" s="113"/>
      <c r="AV41" s="113"/>
      <c r="AW41" s="113"/>
      <c r="AX41" s="113"/>
      <c r="AY41" s="131"/>
      <c r="AZ41" s="131"/>
      <c r="BA41" s="31"/>
      <c r="BB41" s="31"/>
      <c r="BC41" s="31"/>
    </row>
    <row r="42" spans="1:55" ht="28.5" x14ac:dyDescent="0.45">
      <c r="A42" s="132" t="str">
        <f>IF(B2="directa",CONCATENATE("It= ",W14),IF(B2="indirecta",W10,"coloque secuencia"))</f>
        <v>It= Iz2 o Ib=-8,532-19i</v>
      </c>
      <c r="B42" s="134"/>
      <c r="C42" s="134"/>
      <c r="D42" s="134"/>
      <c r="K42" s="32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32"/>
      <c r="AN42" s="32"/>
      <c r="AO42" s="32"/>
      <c r="AP42" s="32"/>
      <c r="AQ42" s="113"/>
      <c r="AR42" s="113"/>
      <c r="AS42" s="113"/>
      <c r="AT42" s="113"/>
      <c r="AU42" s="113"/>
      <c r="AV42" s="113"/>
      <c r="AW42" s="113"/>
      <c r="AX42" s="113"/>
      <c r="AY42" s="131"/>
      <c r="AZ42" s="131"/>
      <c r="BA42" s="31"/>
      <c r="BB42" s="31"/>
      <c r="BC42" s="31"/>
    </row>
    <row r="43" spans="1:55" ht="36.75" customHeight="1" x14ac:dyDescent="0.5">
      <c r="A43" s="139" t="str">
        <f>IF(B2="directa",CONCATENATE("It= ",ROUND(X13,3),"*e^",ROUND(Y13,3)),IF(B2="indirecta",CONCATENATE("It= ",ROUND(X9,3),"*e^",ROUND(Y9,3)),"coloque secuencia"))</f>
        <v>It= 20,828*e^-114,183</v>
      </c>
      <c r="B43" s="134"/>
      <c r="C43" s="134"/>
      <c r="D43" s="134"/>
      <c r="K43" s="32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32"/>
      <c r="AN43" s="32"/>
      <c r="AO43" s="32"/>
      <c r="AP43" s="32"/>
      <c r="AQ43" s="113"/>
      <c r="AR43" s="113"/>
      <c r="AS43" s="113"/>
      <c r="AT43" s="113"/>
      <c r="AU43" s="113"/>
      <c r="AV43" s="113"/>
      <c r="AW43" s="113"/>
      <c r="AX43" s="113"/>
      <c r="AY43" s="131"/>
      <c r="AZ43" s="131"/>
      <c r="BA43" s="31"/>
      <c r="BB43" s="31"/>
      <c r="BC43" s="31"/>
    </row>
    <row r="44" spans="1:55" ht="23.25" x14ac:dyDescent="0.35">
      <c r="A44" s="5"/>
      <c r="B44" s="57" t="str">
        <f>IMSUM(W5,W9,W13)</f>
        <v>-4,875</v>
      </c>
      <c r="C44" s="57"/>
      <c r="D44" s="9"/>
      <c r="F44" s="203" t="e">
        <f>CONCATENATE("Sz1= ",Z33,"VA")</f>
        <v>#VALUE!</v>
      </c>
      <c r="G44" s="203"/>
      <c r="K44" s="32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32"/>
      <c r="AN44" s="32"/>
      <c r="AO44" s="32"/>
      <c r="AP44" s="32"/>
      <c r="AQ44" s="113"/>
      <c r="AR44" s="113"/>
      <c r="AS44" s="113"/>
      <c r="AT44" s="113"/>
      <c r="AU44" s="113"/>
      <c r="AV44" s="113"/>
      <c r="AW44" s="113"/>
      <c r="AX44" s="113"/>
      <c r="AY44" s="131"/>
      <c r="AZ44" s="131"/>
      <c r="BA44" s="31"/>
      <c r="BB44" s="31"/>
      <c r="BC44" s="31"/>
    </row>
    <row r="45" spans="1:55" ht="23.25" x14ac:dyDescent="0.35">
      <c r="A45" s="38" t="s">
        <v>44</v>
      </c>
      <c r="B45" s="57" t="s">
        <v>90</v>
      </c>
      <c r="C45" s="57" t="s">
        <v>91</v>
      </c>
      <c r="D45" s="9"/>
      <c r="F45" s="203" t="str">
        <f>CONCATENATE("Sz2= ",Z36,"VA")</f>
        <v>Sz2= 4337,929VA</v>
      </c>
      <c r="G45" s="203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32"/>
      <c r="AN45" s="32"/>
      <c r="AO45" s="32"/>
      <c r="AP45" s="32"/>
      <c r="AQ45" s="113"/>
      <c r="AR45" s="113"/>
      <c r="AS45" s="113"/>
      <c r="AT45" s="113"/>
      <c r="AU45" s="113"/>
      <c r="AV45" s="113"/>
      <c r="AW45" s="113"/>
      <c r="AX45" s="113"/>
      <c r="AY45" s="131"/>
      <c r="AZ45" s="131"/>
      <c r="BA45" s="31"/>
      <c r="BB45" s="31"/>
      <c r="BC45" s="31"/>
    </row>
    <row r="46" spans="1:55" ht="31.5" x14ac:dyDescent="0.5">
      <c r="A46" s="133" t="str">
        <f>CONCATENATE("In= ",IMSUM(W5,W9,W13))</f>
        <v>In= -4,875</v>
      </c>
      <c r="B46" s="57">
        <f>IMABS(B44)</f>
        <v>4.875</v>
      </c>
      <c r="C46" s="57">
        <f>DEGREES(IMARGUMENT(B44))</f>
        <v>180</v>
      </c>
      <c r="D46" s="9"/>
      <c r="F46" s="203" t="str">
        <f>CONCATENATE("Sz3= ",Z37,"VA")</f>
        <v>Sz3= 4337,929VA</v>
      </c>
      <c r="G46" s="203"/>
      <c r="H46" s="134"/>
      <c r="I46" s="134"/>
      <c r="J46" s="134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32"/>
      <c r="AN46" s="32"/>
      <c r="AO46" s="32"/>
      <c r="AP46" s="32"/>
      <c r="AQ46" s="113"/>
      <c r="AR46" s="113"/>
      <c r="AS46" s="113"/>
      <c r="AT46" s="113"/>
      <c r="AU46" s="113"/>
      <c r="AV46" s="113"/>
      <c r="AW46" s="113"/>
      <c r="AX46" s="113"/>
      <c r="AY46" s="131"/>
      <c r="AZ46" s="131"/>
      <c r="BA46" s="31"/>
      <c r="BB46" s="31"/>
      <c r="BC46" s="31"/>
    </row>
    <row r="47" spans="1:55" ht="30" customHeight="1" x14ac:dyDescent="0.45">
      <c r="A47" s="132" t="str">
        <f>CONCATENATE("In= ",ROUND(B46,3),"*e^",ROUND(C46,3),"º*j")</f>
        <v>In= 4,875*e^180º*j</v>
      </c>
      <c r="B47" s="9"/>
      <c r="C47" s="9"/>
      <c r="D47" s="9"/>
      <c r="H47" s="9"/>
      <c r="I47" s="9" t="s">
        <v>90</v>
      </c>
      <c r="J47" s="9" t="s">
        <v>91</v>
      </c>
      <c r="K47" s="57" t="s">
        <v>100</v>
      </c>
      <c r="L47" s="57" t="s">
        <v>101</v>
      </c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32"/>
      <c r="AN47" s="32"/>
      <c r="AO47" s="32"/>
      <c r="AP47" s="32"/>
      <c r="AQ47" s="113"/>
      <c r="AR47" s="113"/>
      <c r="AS47" s="113"/>
      <c r="AT47" s="113"/>
      <c r="AU47" s="113"/>
      <c r="AV47" s="113"/>
      <c r="AW47" s="113"/>
      <c r="AX47" s="113"/>
      <c r="AY47" s="131"/>
      <c r="AZ47" s="131"/>
      <c r="BA47" s="31"/>
      <c r="BB47" s="31"/>
      <c r="BC47" s="31"/>
    </row>
    <row r="48" spans="1:55" x14ac:dyDescent="0.25">
      <c r="A48" s="134"/>
      <c r="B48" s="134"/>
      <c r="C48" s="134"/>
      <c r="D48" s="134"/>
      <c r="H48" s="9" t="s">
        <v>96</v>
      </c>
      <c r="I48" s="9">
        <f>IF(B2="directa",Q32,IF(B2="indirecta",Q32,"coloque secuencia"))</f>
        <v>219.39310229205779</v>
      </c>
      <c r="J48" s="9">
        <f>IF(B2="directa",0,IF(B2="indirecta",0,"coloque secuencia"))</f>
        <v>0</v>
      </c>
      <c r="K48" s="57">
        <f>I48*COS(RADIANS(J48))</f>
        <v>219.39310229205779</v>
      </c>
      <c r="L48" s="57">
        <f>I48*SIN(RADIANS(J48))</f>
        <v>0</v>
      </c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32"/>
      <c r="AN48" s="32"/>
      <c r="AO48" s="32"/>
      <c r="AP48" s="32"/>
      <c r="AQ48" s="113"/>
      <c r="AR48" s="113"/>
      <c r="AS48" s="113"/>
      <c r="AT48" s="113"/>
      <c r="AU48" s="113"/>
      <c r="AV48" s="113"/>
      <c r="AW48" s="113"/>
      <c r="AX48" s="113"/>
      <c r="AY48" s="131"/>
      <c r="AZ48" s="131"/>
      <c r="BA48" s="31"/>
      <c r="BB48" s="31"/>
      <c r="BC48" s="31"/>
    </row>
    <row r="49" spans="1:55" x14ac:dyDescent="0.25">
      <c r="A49" s="134"/>
      <c r="B49" s="134"/>
      <c r="C49" s="134"/>
      <c r="D49" s="134"/>
      <c r="H49" s="9" t="s">
        <v>97</v>
      </c>
      <c r="I49" s="9">
        <f>IF(B2="directa",Q32,IF(B2="indirecta",Q32,"coloque secuencia"))</f>
        <v>219.39310229205779</v>
      </c>
      <c r="J49" s="9">
        <f>IF(B2="directa",240,IF(B2="indirecta",120,"coloque secuencia"))</f>
        <v>240</v>
      </c>
      <c r="K49" s="57">
        <f t="shared" ref="K49:K50" si="3">I49*COS(RADIANS(J49))</f>
        <v>-109.69655114602899</v>
      </c>
      <c r="L49" s="57">
        <f t="shared" ref="L49:L50" si="4">I49*SIN(RADIANS(J49))</f>
        <v>-189.99999999999994</v>
      </c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32"/>
      <c r="AN49" s="32"/>
      <c r="AO49" s="32"/>
      <c r="AP49" s="32"/>
      <c r="AQ49" s="113"/>
      <c r="AR49" s="113"/>
      <c r="AS49" s="113"/>
      <c r="AT49" s="113"/>
      <c r="AU49" s="113"/>
      <c r="AV49" s="113"/>
      <c r="AW49" s="113"/>
      <c r="AX49" s="113"/>
      <c r="AY49" s="131"/>
      <c r="AZ49" s="131"/>
      <c r="BA49" s="31"/>
      <c r="BB49" s="31"/>
      <c r="BC49" s="31"/>
    </row>
    <row r="50" spans="1:55" x14ac:dyDescent="0.25">
      <c r="A50" s="134"/>
      <c r="B50" s="134"/>
      <c r="C50" s="134"/>
      <c r="D50" s="134"/>
      <c r="H50" s="9" t="s">
        <v>98</v>
      </c>
      <c r="I50" s="9">
        <f>IF(B2="directa",Q32,IF(B2="indirecta",Q32,"coloque secuencia"))</f>
        <v>219.39310229205779</v>
      </c>
      <c r="J50" s="9">
        <f>IF(B2="directa",120,IF(B2="indirecta",240,"coloque secuencia"))</f>
        <v>120</v>
      </c>
      <c r="K50" s="57">
        <f t="shared" si="3"/>
        <v>-109.69655114602885</v>
      </c>
      <c r="L50" s="57">
        <f t="shared" si="4"/>
        <v>190</v>
      </c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32"/>
      <c r="AN50" s="32"/>
      <c r="AO50" s="32"/>
      <c r="AP50" s="32"/>
      <c r="AQ50" s="113"/>
      <c r="AR50" s="113"/>
      <c r="AS50" s="113"/>
      <c r="AT50" s="113"/>
      <c r="AU50" s="113"/>
      <c r="AV50" s="113"/>
      <c r="AW50" s="113"/>
      <c r="AX50" s="113"/>
      <c r="AY50" s="131"/>
      <c r="AZ50" s="131"/>
      <c r="BA50" s="31"/>
      <c r="BB50" s="31"/>
      <c r="BC50" s="31"/>
    </row>
    <row r="51" spans="1:55" x14ac:dyDescent="0.25">
      <c r="H51" s="9"/>
      <c r="I51" s="9"/>
      <c r="J51" s="9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32"/>
      <c r="AN51" s="32"/>
      <c r="AO51" s="32"/>
      <c r="AP51" s="32"/>
      <c r="AQ51" s="113"/>
      <c r="AR51" s="113"/>
      <c r="AS51" s="113"/>
      <c r="AT51" s="113"/>
      <c r="AU51" s="113"/>
      <c r="AV51" s="113"/>
      <c r="AW51" s="113"/>
      <c r="AX51" s="113"/>
      <c r="AY51" s="131"/>
      <c r="AZ51" s="131"/>
      <c r="BA51" s="31"/>
      <c r="BB51" s="31"/>
      <c r="BC51" s="31"/>
    </row>
    <row r="52" spans="1:55" x14ac:dyDescent="0.25">
      <c r="H52" s="9"/>
      <c r="I52" s="9"/>
      <c r="J52" s="9"/>
      <c r="K52" s="57"/>
      <c r="L52" s="195" t="s">
        <v>86</v>
      </c>
      <c r="M52" s="195"/>
      <c r="N52" s="195"/>
      <c r="O52" s="195"/>
      <c r="P52" s="195"/>
      <c r="Q52" s="195"/>
      <c r="R52" s="195"/>
      <c r="S52" s="117"/>
      <c r="T52" s="117"/>
      <c r="U52" s="117"/>
      <c r="V52" s="11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32"/>
      <c r="AN52" s="32"/>
      <c r="AO52" s="32"/>
      <c r="AP52" s="32"/>
      <c r="AQ52" s="113"/>
      <c r="AR52" s="113"/>
      <c r="AS52" s="113"/>
      <c r="AT52" s="113"/>
      <c r="AU52" s="113"/>
      <c r="AV52" s="113"/>
      <c r="AW52" s="113"/>
      <c r="AX52" s="113"/>
      <c r="AY52" s="131"/>
      <c r="AZ52" s="131"/>
      <c r="BA52" s="31"/>
      <c r="BB52" s="31"/>
      <c r="BC52" s="31"/>
    </row>
    <row r="53" spans="1:55" x14ac:dyDescent="0.25">
      <c r="H53" s="9"/>
      <c r="I53" s="9"/>
      <c r="J53" s="9"/>
      <c r="K53" s="57"/>
      <c r="L53" s="195"/>
      <c r="M53" s="195"/>
      <c r="N53" s="195"/>
      <c r="O53" s="195"/>
      <c r="P53" s="195"/>
      <c r="Q53" s="195"/>
      <c r="R53" s="195"/>
      <c r="S53" s="117"/>
      <c r="T53" s="117"/>
      <c r="U53" s="117"/>
      <c r="V53" s="11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32"/>
      <c r="AN53" s="32"/>
      <c r="AO53" s="32"/>
      <c r="AP53" s="32"/>
      <c r="AQ53" s="113"/>
      <c r="AR53" s="113"/>
      <c r="AS53" s="113"/>
      <c r="AT53" s="113"/>
      <c r="AU53" s="113"/>
      <c r="AV53" s="113"/>
      <c r="AW53" s="113"/>
      <c r="AX53" s="113"/>
      <c r="AY53" s="131"/>
      <c r="AZ53" s="131"/>
      <c r="BA53" s="31"/>
      <c r="BB53" s="31"/>
      <c r="BC53" s="31"/>
    </row>
    <row r="54" spans="1:55" x14ac:dyDescent="0.25">
      <c r="A54" s="206" t="str">
        <f>IF(B19="si",CONCATENATE("Von = ",ROUND((Y67/AE68),3),"*e^",ROUND(((Z67)-(AF68)),3),"º*j"),"no hace falta, para que la queres")</f>
        <v>Von = 24,378*e^180º*j</v>
      </c>
      <c r="B54" s="206"/>
      <c r="C54" s="206"/>
      <c r="D54" s="206"/>
      <c r="E54" s="206"/>
      <c r="F54" s="206"/>
      <c r="G54" s="206"/>
      <c r="H54" s="9"/>
      <c r="I54" s="43"/>
      <c r="J54" s="43"/>
      <c r="K54" s="57"/>
      <c r="L54" s="57"/>
      <c r="M54" s="57"/>
      <c r="N54" s="57"/>
      <c r="O54" s="57" t="s">
        <v>90</v>
      </c>
      <c r="P54" s="57" t="s">
        <v>91</v>
      </c>
      <c r="Q54" s="57" t="s">
        <v>72</v>
      </c>
      <c r="R54" s="57" t="s">
        <v>73</v>
      </c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32"/>
      <c r="AN54" s="32"/>
      <c r="AO54" s="32"/>
      <c r="AP54" s="32"/>
      <c r="AQ54" s="113"/>
      <c r="AR54" s="113"/>
      <c r="AS54" s="113"/>
      <c r="AT54" s="113"/>
      <c r="AU54" s="113"/>
      <c r="AV54" s="113"/>
      <c r="AW54" s="113"/>
      <c r="AX54" s="113"/>
      <c r="AY54" s="131"/>
      <c r="AZ54" s="131"/>
      <c r="BA54" s="31"/>
      <c r="BB54" s="31"/>
      <c r="BC54" s="31"/>
    </row>
    <row r="55" spans="1:55" x14ac:dyDescent="0.25">
      <c r="A55" s="206"/>
      <c r="B55" s="206"/>
      <c r="C55" s="206"/>
      <c r="D55" s="206"/>
      <c r="E55" s="206"/>
      <c r="F55" s="206"/>
      <c r="G55" s="206"/>
      <c r="H55" s="9"/>
      <c r="I55" s="9"/>
      <c r="J55" s="9"/>
      <c r="K55" s="57"/>
      <c r="L55" s="57"/>
      <c r="M55" s="57"/>
      <c r="N55" s="135" t="s">
        <v>216</v>
      </c>
      <c r="O55" s="57">
        <f>1/(O6)</f>
        <v>0.05</v>
      </c>
      <c r="P55" s="57">
        <f>-(P6)</f>
        <v>0</v>
      </c>
      <c r="Q55" s="57">
        <f>O55*COS(RADIANS(P55))</f>
        <v>0.05</v>
      </c>
      <c r="R55" s="57">
        <f>O55*SIN(RADIANS(P55))</f>
        <v>0</v>
      </c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32"/>
      <c r="AN55" s="32"/>
      <c r="AO55" s="32"/>
      <c r="AP55" s="32"/>
      <c r="AQ55" s="113"/>
      <c r="AR55" s="113"/>
      <c r="AS55" s="113"/>
      <c r="AT55" s="113"/>
      <c r="AU55" s="113"/>
      <c r="AV55" s="113"/>
      <c r="AW55" s="113"/>
      <c r="AX55" s="113"/>
      <c r="AY55" s="131"/>
      <c r="AZ55" s="131"/>
      <c r="BA55" s="31"/>
      <c r="BB55" s="31"/>
      <c r="BC55" s="31"/>
    </row>
    <row r="56" spans="1:55" x14ac:dyDescent="0.25">
      <c r="A56" s="206"/>
      <c r="B56" s="206"/>
      <c r="C56" s="206"/>
      <c r="D56" s="206"/>
      <c r="E56" s="206"/>
      <c r="F56" s="206"/>
      <c r="G56" s="206"/>
      <c r="H56" s="9"/>
      <c r="I56" s="9"/>
      <c r="J56" s="9"/>
      <c r="K56" s="57"/>
      <c r="L56" s="57"/>
      <c r="M56" s="57"/>
      <c r="N56" s="135" t="s">
        <v>217</v>
      </c>
      <c r="O56" s="57">
        <f>1/(O13)</f>
        <v>0.1</v>
      </c>
      <c r="P56" s="57">
        <f>-(P13)</f>
        <v>0</v>
      </c>
      <c r="Q56" s="57">
        <f t="shared" ref="Q56:Q57" si="5">O56*COS(RADIANS(P56))</f>
        <v>0.1</v>
      </c>
      <c r="R56" s="57">
        <f>O56*SIN(RADIANS(P56))</f>
        <v>0</v>
      </c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32"/>
      <c r="AN56" s="32"/>
      <c r="AO56" s="32"/>
      <c r="AP56" s="32"/>
      <c r="AQ56" s="113"/>
      <c r="AR56" s="113"/>
      <c r="AS56" s="113"/>
      <c r="AT56" s="113"/>
      <c r="AU56" s="113"/>
      <c r="AV56" s="113"/>
      <c r="AW56" s="113"/>
      <c r="AX56" s="113"/>
      <c r="AY56" s="131"/>
      <c r="AZ56" s="131"/>
      <c r="BA56" s="31"/>
      <c r="BB56" s="31"/>
      <c r="BC56" s="31"/>
    </row>
    <row r="57" spans="1:55" x14ac:dyDescent="0.25">
      <c r="A57" s="206"/>
      <c r="B57" s="206"/>
      <c r="C57" s="206"/>
      <c r="D57" s="206"/>
      <c r="E57" s="206"/>
      <c r="F57" s="206"/>
      <c r="G57" s="206"/>
      <c r="H57" s="9"/>
      <c r="I57" s="9"/>
      <c r="J57" s="9"/>
      <c r="K57" s="57"/>
      <c r="L57" s="57"/>
      <c r="M57" s="57"/>
      <c r="N57" s="135" t="s">
        <v>218</v>
      </c>
      <c r="O57" s="57">
        <f>1/(O10)</f>
        <v>0.1</v>
      </c>
      <c r="P57" s="57">
        <f>-(P10)</f>
        <v>0</v>
      </c>
      <c r="Q57" s="57">
        <f t="shared" si="5"/>
        <v>0.1</v>
      </c>
      <c r="R57" s="57">
        <f>O57*SIN(RADIANS(P57))</f>
        <v>0</v>
      </c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32"/>
      <c r="AN57" s="32"/>
      <c r="AO57" s="32"/>
      <c r="AP57" s="32"/>
      <c r="AQ57" s="113"/>
      <c r="AR57" s="113"/>
      <c r="AS57" s="113"/>
      <c r="AT57" s="113"/>
      <c r="AU57" s="113"/>
      <c r="AV57" s="113"/>
      <c r="AW57" s="113"/>
      <c r="AX57" s="113"/>
      <c r="AY57" s="131"/>
      <c r="AZ57" s="131"/>
      <c r="BA57" s="31"/>
      <c r="BB57" s="31"/>
      <c r="BC57" s="31"/>
    </row>
    <row r="58" spans="1:55" x14ac:dyDescent="0.25">
      <c r="K58" s="57"/>
      <c r="L58" s="57"/>
      <c r="M58" s="57"/>
      <c r="N58" s="135" t="s">
        <v>219</v>
      </c>
      <c r="O58" s="57">
        <f>IF(O19=0,0,1/O19)</f>
        <v>0.2</v>
      </c>
      <c r="P58" s="57">
        <f>+-(P19)</f>
        <v>0</v>
      </c>
      <c r="Q58" s="57">
        <f>O58*COS(RADIANS(P58))</f>
        <v>0.2</v>
      </c>
      <c r="R58" s="57">
        <f>O58*SIN(RADIANS(P58))</f>
        <v>0</v>
      </c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32"/>
      <c r="AN58" s="32"/>
      <c r="AO58" s="32"/>
      <c r="AP58" s="32"/>
      <c r="AQ58" s="113"/>
      <c r="AR58" s="113"/>
      <c r="AS58" s="113"/>
      <c r="AT58" s="113"/>
      <c r="AU58" s="113"/>
      <c r="AV58" s="113"/>
      <c r="AW58" s="113"/>
      <c r="AX58" s="113"/>
      <c r="AY58" s="131"/>
      <c r="AZ58" s="131"/>
      <c r="BA58" s="31"/>
      <c r="BB58" s="31"/>
      <c r="BC58" s="31"/>
    </row>
    <row r="59" spans="1:55" x14ac:dyDescent="0.25"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32"/>
      <c r="AN59" s="32"/>
      <c r="AO59" s="32"/>
      <c r="AP59" s="32"/>
      <c r="AQ59" s="113"/>
      <c r="AR59" s="113"/>
      <c r="AS59" s="113"/>
      <c r="AT59" s="113"/>
      <c r="AU59" s="113"/>
      <c r="AV59" s="113"/>
      <c r="AW59" s="113"/>
      <c r="AX59" s="113"/>
      <c r="AY59" s="131"/>
      <c r="AZ59" s="131"/>
      <c r="BA59" s="31"/>
      <c r="BB59" s="31"/>
      <c r="BC59" s="31"/>
    </row>
    <row r="60" spans="1:55" x14ac:dyDescent="0.25"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32"/>
      <c r="AN60" s="32"/>
      <c r="AO60" s="32"/>
      <c r="AP60" s="32"/>
      <c r="AQ60" s="113"/>
      <c r="AR60" s="113"/>
      <c r="AS60" s="113"/>
      <c r="AT60" s="113"/>
      <c r="AU60" s="113"/>
      <c r="AV60" s="113"/>
      <c r="AW60" s="113"/>
      <c r="AX60" s="113"/>
      <c r="AY60" s="131"/>
      <c r="AZ60" s="131"/>
      <c r="BA60" s="31"/>
      <c r="BB60" s="31"/>
      <c r="BC60" s="31"/>
    </row>
    <row r="61" spans="1:55" ht="30" x14ac:dyDescent="0.25">
      <c r="A61" s="204" t="str">
        <f>CONCATENATE("NUMERADOR Von=",ROUND(Y67,3),"*e^",ROUND(Z67,3),"º*j")</f>
        <v>NUMERADOR Von=10,97*e^180º*j</v>
      </c>
      <c r="B61" s="204"/>
      <c r="C61" s="204"/>
      <c r="D61" s="204"/>
      <c r="E61" s="204"/>
      <c r="F61" s="204"/>
      <c r="G61" s="204"/>
      <c r="K61" s="57"/>
      <c r="L61" s="57"/>
      <c r="M61" s="57"/>
      <c r="N61" s="57"/>
      <c r="O61" s="136" t="s">
        <v>92</v>
      </c>
      <c r="P61" s="136"/>
      <c r="Q61" s="136" t="s">
        <v>104</v>
      </c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195" t="s">
        <v>215</v>
      </c>
      <c r="AC61" s="195"/>
      <c r="AD61" s="195"/>
      <c r="AE61" s="195"/>
      <c r="AF61" s="57"/>
      <c r="AG61" s="57"/>
      <c r="AH61" s="57"/>
      <c r="AI61" s="57"/>
      <c r="AJ61" s="57"/>
      <c r="AK61" s="57"/>
      <c r="AL61" s="57"/>
      <c r="AM61" s="32"/>
      <c r="AN61" s="32"/>
      <c r="AO61" s="32"/>
      <c r="AP61" s="32"/>
      <c r="AQ61" s="113"/>
      <c r="AR61" s="113"/>
      <c r="AS61" s="113"/>
      <c r="AT61" s="113"/>
      <c r="AU61" s="113"/>
      <c r="AV61" s="113"/>
      <c r="AW61" s="113"/>
      <c r="AX61" s="113"/>
      <c r="AY61" s="131"/>
      <c r="AZ61" s="131"/>
      <c r="BA61" s="31"/>
      <c r="BB61" s="31"/>
      <c r="BC61" s="31"/>
    </row>
    <row r="62" spans="1:55" x14ac:dyDescent="0.25">
      <c r="A62" s="204"/>
      <c r="B62" s="204"/>
      <c r="C62" s="204"/>
      <c r="D62" s="204"/>
      <c r="E62" s="204"/>
      <c r="F62" s="204"/>
      <c r="G62" s="204"/>
      <c r="K62" s="57"/>
      <c r="L62" s="57"/>
      <c r="M62" s="57"/>
      <c r="N62" s="57"/>
      <c r="O62" s="57">
        <f>SUM(Q55:Q58)</f>
        <v>0.45</v>
      </c>
      <c r="P62" s="57"/>
      <c r="Q62" s="57" t="s">
        <v>90</v>
      </c>
      <c r="R62" s="57" t="s">
        <v>91</v>
      </c>
      <c r="S62" s="57" t="s">
        <v>102</v>
      </c>
      <c r="T62" s="57" t="s">
        <v>103</v>
      </c>
      <c r="U62" s="57"/>
      <c r="V62" s="195" t="s">
        <v>210</v>
      </c>
      <c r="W62" s="195"/>
      <c r="X62" s="57"/>
      <c r="Y62" s="57"/>
      <c r="Z62" s="57"/>
      <c r="AA62" s="57"/>
      <c r="AB62" s="195"/>
      <c r="AC62" s="195"/>
      <c r="AD62" s="195"/>
      <c r="AE62" s="195"/>
      <c r="AF62" s="57"/>
      <c r="AG62" s="57"/>
      <c r="AH62" s="57"/>
      <c r="AI62" s="57"/>
      <c r="AJ62" s="57"/>
      <c r="AK62" s="57"/>
      <c r="AL62" s="57"/>
      <c r="AM62" s="32"/>
      <c r="AN62" s="32"/>
      <c r="AO62" s="32"/>
      <c r="AP62" s="32"/>
      <c r="AQ62" s="113"/>
      <c r="AR62" s="113"/>
      <c r="AS62" s="113"/>
      <c r="AT62" s="113"/>
      <c r="AU62" s="113"/>
      <c r="AV62" s="113"/>
      <c r="AW62" s="113"/>
      <c r="AX62" s="113"/>
      <c r="AY62" s="131"/>
      <c r="AZ62" s="131"/>
      <c r="BA62" s="31"/>
      <c r="BB62" s="31"/>
      <c r="BC62" s="31"/>
    </row>
    <row r="63" spans="1:55" ht="36" x14ac:dyDescent="0.3">
      <c r="A63" s="228" t="str">
        <f>CONCATENATE("NUMERADOR Von = ",X67)</f>
        <v>NUMERADOR Von = -10,97</v>
      </c>
      <c r="B63" s="228"/>
      <c r="C63" s="228"/>
      <c r="D63" s="228"/>
      <c r="E63" s="228"/>
      <c r="F63" s="228"/>
      <c r="G63" s="228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137" t="s">
        <v>105</v>
      </c>
      <c r="X63" s="137" t="str">
        <f>COMPLEX(S64,T64)</f>
        <v>10,97</v>
      </c>
      <c r="Y63" s="57"/>
      <c r="Z63" s="57"/>
      <c r="AA63" s="57"/>
      <c r="AB63" s="57"/>
      <c r="AC63" s="57" t="s">
        <v>216</v>
      </c>
      <c r="AD63" s="57" t="str">
        <f>COMPLEX(Q55,R55)</f>
        <v>0,05</v>
      </c>
      <c r="AE63" s="57"/>
      <c r="AF63" s="57"/>
      <c r="AG63" s="57"/>
      <c r="AH63" s="57"/>
      <c r="AI63" s="57"/>
      <c r="AJ63" s="57"/>
      <c r="AK63" s="57"/>
      <c r="AL63" s="57"/>
      <c r="AM63" s="32"/>
      <c r="AN63" s="32"/>
      <c r="AO63" s="32"/>
      <c r="AP63" s="32"/>
      <c r="AQ63" s="113"/>
      <c r="AR63" s="113"/>
      <c r="AS63" s="113"/>
      <c r="AT63" s="113"/>
      <c r="AU63" s="113"/>
      <c r="AV63" s="113"/>
      <c r="AW63" s="113"/>
      <c r="AX63" s="113"/>
      <c r="AY63" s="131"/>
      <c r="AZ63" s="131"/>
      <c r="BA63" s="31"/>
      <c r="BB63" s="31"/>
      <c r="BC63" s="31"/>
    </row>
    <row r="64" spans="1:55" ht="18.75" x14ac:dyDescent="0.3">
      <c r="K64" s="57"/>
      <c r="L64" s="57"/>
      <c r="M64" s="57"/>
      <c r="N64" s="57"/>
      <c r="O64" s="57">
        <f>IF(O58=0,SUM(R55:R58),SUM(R55:R57))</f>
        <v>0</v>
      </c>
      <c r="P64" s="57" t="s">
        <v>105</v>
      </c>
      <c r="Q64" s="57">
        <f>ROUND(O55*I48,3)</f>
        <v>10.97</v>
      </c>
      <c r="R64" s="57">
        <f>ROUND(P55+J48,3)</f>
        <v>0</v>
      </c>
      <c r="S64" s="57">
        <f>ROUND(Q64*COS(RADIANS(R64)),3)</f>
        <v>10.97</v>
      </c>
      <c r="T64" s="57">
        <f>ROUND(Q64*SIN(RADIANS(R64)),3)</f>
        <v>0</v>
      </c>
      <c r="U64" s="57" t="s">
        <v>110</v>
      </c>
      <c r="V64" s="57"/>
      <c r="W64" s="137" t="s">
        <v>106</v>
      </c>
      <c r="X64" s="137" t="str">
        <f t="shared" ref="X64:X65" si="6">COMPLEX(S65,T65)</f>
        <v>-10,97-19i</v>
      </c>
      <c r="Y64" s="57"/>
      <c r="Z64" s="57"/>
      <c r="AA64" s="57"/>
      <c r="AB64" s="57"/>
      <c r="AC64" s="57" t="s">
        <v>217</v>
      </c>
      <c r="AD64" s="57" t="str">
        <f>COMPLEX(Q56,R56)</f>
        <v>0,1</v>
      </c>
      <c r="AE64" s="57"/>
      <c r="AF64" s="57"/>
      <c r="AG64" s="57"/>
      <c r="AH64" s="57"/>
      <c r="AI64" s="57"/>
      <c r="AJ64" s="57"/>
      <c r="AK64" s="57"/>
      <c r="AL64" s="57"/>
      <c r="AM64" s="32"/>
      <c r="AN64" s="32"/>
      <c r="AO64" s="32"/>
      <c r="AP64" s="32"/>
      <c r="AQ64" s="113"/>
      <c r="AR64" s="113"/>
      <c r="AS64" s="113"/>
      <c r="AT64" s="113"/>
      <c r="AU64" s="113"/>
      <c r="AV64" s="113"/>
      <c r="AW64" s="113"/>
      <c r="AX64" s="113"/>
      <c r="AY64" s="131"/>
      <c r="AZ64" s="131"/>
      <c r="BA64" s="31"/>
      <c r="BB64" s="31"/>
      <c r="BC64" s="31"/>
    </row>
    <row r="65" spans="1:55" ht="18.75" x14ac:dyDescent="0.3">
      <c r="K65" s="57"/>
      <c r="L65" s="57"/>
      <c r="M65" s="57"/>
      <c r="N65" s="57"/>
      <c r="O65" s="57">
        <f>ROUND(SQRT((O62*O62)+(O64*O64)),3)</f>
        <v>0.45</v>
      </c>
      <c r="P65" s="57" t="s">
        <v>106</v>
      </c>
      <c r="Q65" s="57">
        <f>ROUND(O56*I49,3)</f>
        <v>21.939</v>
      </c>
      <c r="R65" s="57">
        <f>ROUND(P56+J49,3)</f>
        <v>240</v>
      </c>
      <c r="S65" s="57">
        <f t="shared" ref="S65:S66" si="7">ROUND(Q65*COS(RADIANS(R65)),3)</f>
        <v>-10.97</v>
      </c>
      <c r="T65" s="57">
        <f t="shared" ref="T65:T66" si="8">ROUND(Q65*SIN(RADIANS(R65)),3)</f>
        <v>-19</v>
      </c>
      <c r="U65" s="57" t="s">
        <v>111</v>
      </c>
      <c r="V65" s="57"/>
      <c r="W65" s="137" t="s">
        <v>212</v>
      </c>
      <c r="X65" s="137" t="str">
        <f t="shared" si="6"/>
        <v>-10,97+19i</v>
      </c>
      <c r="Y65" s="57"/>
      <c r="Z65" s="57"/>
      <c r="AA65" s="57"/>
      <c r="AB65" s="57"/>
      <c r="AC65" s="57" t="s">
        <v>218</v>
      </c>
      <c r="AD65" s="57" t="str">
        <f>COMPLEX(Q57,R57)</f>
        <v>0,1</v>
      </c>
      <c r="AE65" s="57"/>
      <c r="AF65" s="57"/>
      <c r="AG65" s="57"/>
      <c r="AH65" s="57"/>
      <c r="AI65" s="57"/>
      <c r="AJ65" s="57"/>
      <c r="AK65" s="57"/>
      <c r="AL65" s="57"/>
      <c r="AM65" s="32"/>
      <c r="AN65" s="32"/>
      <c r="AO65" s="32"/>
      <c r="AP65" s="32"/>
      <c r="AQ65" s="113"/>
      <c r="AR65" s="113"/>
      <c r="AS65" s="113"/>
      <c r="AT65" s="113"/>
      <c r="AU65" s="113"/>
      <c r="AV65" s="113"/>
      <c r="AW65" s="113"/>
      <c r="AX65" s="113"/>
      <c r="AY65" s="131"/>
      <c r="AZ65" s="131"/>
      <c r="BA65" s="31"/>
      <c r="BB65" s="31"/>
      <c r="BC65" s="31"/>
    </row>
    <row r="66" spans="1:55" x14ac:dyDescent="0.25">
      <c r="K66" s="57"/>
      <c r="L66" s="57"/>
      <c r="M66" s="57"/>
      <c r="N66" s="57"/>
      <c r="O66" s="57">
        <f>ROUND(ATAN(O64/O62)*180/PI(),3)</f>
        <v>0</v>
      </c>
      <c r="P66" s="57" t="s">
        <v>107</v>
      </c>
      <c r="Q66" s="57">
        <f>ROUND(O57*I50,3)</f>
        <v>21.939</v>
      </c>
      <c r="R66" s="57">
        <f>ROUND(P57+J50,3)</f>
        <v>120</v>
      </c>
      <c r="S66" s="57">
        <f t="shared" si="7"/>
        <v>-10.97</v>
      </c>
      <c r="T66" s="57">
        <f t="shared" si="8"/>
        <v>19</v>
      </c>
      <c r="U66" s="57" t="s">
        <v>112</v>
      </c>
      <c r="V66" s="57"/>
      <c r="W66" s="57"/>
      <c r="X66" s="57"/>
      <c r="Y66" s="57" t="s">
        <v>90</v>
      </c>
      <c r="Z66" s="57" t="s">
        <v>91</v>
      </c>
      <c r="AA66" s="57"/>
      <c r="AB66" s="57"/>
      <c r="AC66" s="57" t="s">
        <v>219</v>
      </c>
      <c r="AD66" s="57" t="str">
        <f>COMPLEX(Q58,R58)</f>
        <v>0,2</v>
      </c>
      <c r="AE66" s="57"/>
      <c r="AF66" s="57"/>
      <c r="AG66" s="57"/>
      <c r="AH66" s="57"/>
      <c r="AI66" s="57"/>
      <c r="AJ66" s="57"/>
      <c r="AK66" s="57"/>
      <c r="AL66" s="57"/>
      <c r="AM66" s="32"/>
      <c r="AN66" s="32"/>
      <c r="AO66" s="32"/>
      <c r="AP66" s="32"/>
      <c r="AQ66" s="113"/>
      <c r="AR66" s="113"/>
      <c r="AS66" s="113"/>
      <c r="AT66" s="113"/>
      <c r="AU66" s="113"/>
      <c r="AV66" s="113"/>
      <c r="AW66" s="113"/>
      <c r="AX66" s="113"/>
      <c r="AY66" s="131"/>
      <c r="AZ66" s="131"/>
      <c r="BA66" s="31"/>
      <c r="BB66" s="31"/>
      <c r="BC66" s="31"/>
    </row>
    <row r="67" spans="1:55" x14ac:dyDescent="0.25">
      <c r="A67" s="204" t="str">
        <f>CONCATENATE("DENOMINADOR Von=",ROUND(AE68,3),"*e^",ROUND(AF68,3),"º*j")</f>
        <v>DENOMINADOR Von=0,45*e^0º*j</v>
      </c>
      <c r="B67" s="204"/>
      <c r="C67" s="204"/>
      <c r="D67" s="204"/>
      <c r="E67" s="204"/>
      <c r="F67" s="204"/>
      <c r="G67" s="204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 t="s">
        <v>213</v>
      </c>
      <c r="X67" s="57" t="str">
        <f>IMSUM(X63,X64,X65)</f>
        <v>-10,97</v>
      </c>
      <c r="Y67" s="57">
        <f>IMABS(X67)</f>
        <v>10.97</v>
      </c>
      <c r="Z67" s="57">
        <f>DEGREES(IMARGUMENT(X67))</f>
        <v>180</v>
      </c>
      <c r="AA67" s="57"/>
      <c r="AB67" s="57"/>
      <c r="AC67" s="57"/>
      <c r="AD67" s="57"/>
      <c r="AE67" s="57" t="s">
        <v>90</v>
      </c>
      <c r="AF67" s="57" t="s">
        <v>91</v>
      </c>
      <c r="AG67" s="57"/>
      <c r="AH67" s="57"/>
      <c r="AI67" s="57"/>
      <c r="AJ67" s="57"/>
      <c r="AK67" s="57"/>
      <c r="AL67" s="57"/>
      <c r="AM67" s="32"/>
      <c r="AN67" s="32"/>
      <c r="AO67" s="32"/>
      <c r="AP67" s="32"/>
      <c r="AQ67" s="113"/>
      <c r="AR67" s="113"/>
      <c r="AS67" s="113"/>
      <c r="AT67" s="113"/>
      <c r="AU67" s="113"/>
      <c r="AV67" s="113"/>
      <c r="AW67" s="113"/>
      <c r="AX67" s="113"/>
      <c r="AY67" s="131"/>
      <c r="AZ67" s="131"/>
      <c r="BA67" s="31"/>
      <c r="BB67" s="31"/>
      <c r="BC67" s="31"/>
    </row>
    <row r="68" spans="1:55" x14ac:dyDescent="0.25">
      <c r="A68" s="204"/>
      <c r="B68" s="204"/>
      <c r="C68" s="204"/>
      <c r="D68" s="204"/>
      <c r="E68" s="204"/>
      <c r="F68" s="204"/>
      <c r="G68" s="204"/>
      <c r="K68" s="57"/>
      <c r="L68" s="57"/>
      <c r="M68" s="57"/>
      <c r="N68" s="57"/>
      <c r="O68" s="57"/>
      <c r="P68" s="194"/>
      <c r="Q68" s="194"/>
      <c r="R68" s="195"/>
      <c r="S68" s="195"/>
      <c r="T68" s="57"/>
      <c r="U68" s="57"/>
      <c r="V68" s="57"/>
      <c r="W68" s="57"/>
      <c r="X68" s="57"/>
      <c r="Y68" s="57"/>
      <c r="Z68" s="57"/>
      <c r="AA68" s="57"/>
      <c r="AB68" s="57" t="s">
        <v>214</v>
      </c>
      <c r="AC68" s="57" t="str">
        <f>IMSUM(AD63,AD64,AD65,AD66)</f>
        <v>0,45</v>
      </c>
      <c r="AD68" s="57"/>
      <c r="AE68" s="57">
        <f>IMABS(AC68)</f>
        <v>0.45</v>
      </c>
      <c r="AF68" s="57">
        <f>DEGREES(IMARGUMENT(AC68))</f>
        <v>0</v>
      </c>
      <c r="AG68" s="57"/>
      <c r="AH68" s="57"/>
      <c r="AI68" s="57"/>
      <c r="AJ68" s="57"/>
      <c r="AK68" s="57"/>
      <c r="AL68" s="57"/>
      <c r="AM68" s="32"/>
      <c r="AN68" s="32"/>
      <c r="AO68" s="32"/>
      <c r="AP68" s="32"/>
      <c r="AQ68" s="113"/>
      <c r="AR68" s="113"/>
      <c r="AS68" s="113"/>
      <c r="AT68" s="113"/>
      <c r="AU68" s="113"/>
      <c r="AV68" s="113"/>
      <c r="AW68" s="113"/>
      <c r="AX68" s="113"/>
      <c r="AY68" s="131"/>
      <c r="AZ68" s="131"/>
      <c r="BA68" s="31"/>
      <c r="BB68" s="31"/>
      <c r="BC68" s="31"/>
    </row>
    <row r="69" spans="1:55" x14ac:dyDescent="0.25">
      <c r="A69" s="204"/>
      <c r="B69" s="204"/>
      <c r="C69" s="204"/>
      <c r="D69" s="204"/>
      <c r="E69" s="204"/>
      <c r="F69" s="204"/>
      <c r="G69" s="204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32"/>
      <c r="AN69" s="32"/>
      <c r="AO69" s="32"/>
      <c r="AP69" s="32"/>
      <c r="AQ69" s="113"/>
      <c r="AR69" s="113"/>
      <c r="AS69" s="113"/>
      <c r="AT69" s="113"/>
      <c r="AU69" s="113"/>
      <c r="AV69" s="113"/>
      <c r="AW69" s="113"/>
      <c r="AX69" s="113"/>
      <c r="AY69" s="131"/>
      <c r="AZ69" s="131"/>
      <c r="BA69" s="31"/>
      <c r="BB69" s="31"/>
      <c r="BC69" s="31"/>
    </row>
    <row r="70" spans="1:55" x14ac:dyDescent="0.25">
      <c r="A70" s="227" t="str">
        <f>CONCATENATE("DENOMINADOR Von = ",AC68)</f>
        <v>DENOMINADOR Von = 0,45</v>
      </c>
      <c r="B70" s="227"/>
      <c r="C70" s="227"/>
      <c r="D70" s="227"/>
      <c r="E70" s="227"/>
      <c r="F70" s="227"/>
      <c r="G70" s="22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117"/>
      <c r="Z70" s="117"/>
      <c r="AA70" s="117"/>
      <c r="AB70" s="117"/>
      <c r="AC70" s="117"/>
      <c r="AD70" s="57"/>
      <c r="AE70" s="57"/>
      <c r="AF70" s="57"/>
      <c r="AG70" s="57"/>
      <c r="AH70" s="57"/>
      <c r="AI70" s="57"/>
      <c r="AJ70" s="57"/>
      <c r="AK70" s="57"/>
      <c r="AL70" s="57"/>
      <c r="AM70" s="32"/>
      <c r="AN70" s="32"/>
      <c r="AO70" s="32"/>
      <c r="AP70" s="32"/>
      <c r="AQ70" s="113"/>
      <c r="AR70" s="113"/>
      <c r="AS70" s="113"/>
      <c r="AT70" s="113"/>
      <c r="AU70" s="113"/>
      <c r="AV70" s="113"/>
      <c r="AW70" s="113"/>
      <c r="AX70" s="113"/>
      <c r="AY70" s="131"/>
      <c r="AZ70" s="131"/>
      <c r="BA70" s="31"/>
      <c r="BB70" s="31"/>
      <c r="BC70" s="31"/>
    </row>
    <row r="71" spans="1:55" x14ac:dyDescent="0.25">
      <c r="A71" s="227"/>
      <c r="B71" s="227"/>
      <c r="C71" s="227"/>
      <c r="D71" s="227"/>
      <c r="E71" s="227"/>
      <c r="F71" s="227"/>
      <c r="G71" s="22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195" t="s">
        <v>221</v>
      </c>
      <c r="Y71" s="195"/>
      <c r="Z71" s="195"/>
      <c r="AA71" s="195"/>
      <c r="AB71" s="195"/>
      <c r="AC71" s="117"/>
      <c r="AD71" s="57"/>
      <c r="AE71" s="57"/>
      <c r="AF71" s="57"/>
      <c r="AG71" s="57"/>
      <c r="AH71" s="57"/>
      <c r="AI71" s="57"/>
      <c r="AJ71" s="57"/>
      <c r="AK71" s="57"/>
      <c r="AL71" s="57"/>
      <c r="AM71" s="32"/>
      <c r="AN71" s="32"/>
      <c r="AO71" s="32"/>
      <c r="AP71" s="32"/>
      <c r="AQ71" s="113"/>
      <c r="AR71" s="113"/>
      <c r="AS71" s="113"/>
      <c r="AT71" s="113"/>
      <c r="AU71" s="113"/>
      <c r="AV71" s="113"/>
      <c r="AW71" s="113"/>
      <c r="AX71" s="113"/>
      <c r="AY71" s="131"/>
      <c r="AZ71" s="131"/>
      <c r="BA71" s="31"/>
      <c r="BB71" s="31"/>
      <c r="BC71" s="31"/>
    </row>
    <row r="72" spans="1:55" x14ac:dyDescent="0.25">
      <c r="A72" s="227"/>
      <c r="B72" s="227"/>
      <c r="C72" s="227"/>
      <c r="D72" s="227"/>
      <c r="E72" s="227"/>
      <c r="F72" s="227"/>
      <c r="G72" s="22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195"/>
      <c r="Y72" s="195"/>
      <c r="Z72" s="195"/>
      <c r="AA72" s="195"/>
      <c r="AB72" s="195"/>
      <c r="AC72" s="117"/>
      <c r="AD72" s="57"/>
      <c r="AE72" s="57"/>
      <c r="AF72" s="57"/>
      <c r="AG72" s="57"/>
      <c r="AH72" s="57"/>
      <c r="AI72" s="57"/>
      <c r="AJ72" s="57"/>
      <c r="AK72" s="57"/>
      <c r="AL72" s="57"/>
      <c r="AM72" s="32"/>
      <c r="AN72" s="32"/>
      <c r="AO72" s="32"/>
      <c r="AP72" s="32"/>
      <c r="AQ72" s="113"/>
      <c r="AR72" s="113"/>
      <c r="AS72" s="113"/>
      <c r="AT72" s="113"/>
      <c r="AU72" s="113"/>
      <c r="AV72" s="113"/>
      <c r="AW72" s="113"/>
      <c r="AX72" s="113"/>
      <c r="AY72" s="131"/>
      <c r="AZ72" s="131"/>
      <c r="BA72" s="31"/>
      <c r="BB72" s="31"/>
      <c r="BC72" s="31"/>
    </row>
    <row r="73" spans="1:55" x14ac:dyDescent="0.25"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 t="s">
        <v>211</v>
      </c>
      <c r="Y73" s="57" t="str">
        <f>IMDIV(X67,AC68)</f>
        <v>-24,3777777777778</v>
      </c>
      <c r="Z73" s="57"/>
      <c r="AA73" s="57" t="s">
        <v>102</v>
      </c>
      <c r="AB73" s="57" t="s">
        <v>103</v>
      </c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32"/>
      <c r="AN73" s="32"/>
      <c r="AO73" s="32"/>
      <c r="AP73" s="32"/>
      <c r="AQ73" s="113"/>
      <c r="AR73" s="113"/>
      <c r="AS73" s="113"/>
      <c r="AT73" s="113"/>
      <c r="AU73" s="113"/>
      <c r="AV73" s="113"/>
      <c r="AW73" s="113"/>
      <c r="AX73" s="113"/>
      <c r="AY73" s="131"/>
      <c r="AZ73" s="131"/>
      <c r="BA73" s="31"/>
      <c r="BB73" s="31"/>
      <c r="BC73" s="31"/>
    </row>
    <row r="74" spans="1:55" x14ac:dyDescent="0.25"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 t="s">
        <v>91</v>
      </c>
      <c r="Y74" s="57">
        <f>DEGREES(IMARGUMENT(Y73))</f>
        <v>180</v>
      </c>
      <c r="Z74" s="57"/>
      <c r="AA74" s="57">
        <f>Y75*COS(RADIANS(Y74))</f>
        <v>-24.377777777777801</v>
      </c>
      <c r="AB74" s="57">
        <f>Y75*SIN(RADIANS(Y74))</f>
        <v>2.9866396778550166E-15</v>
      </c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32"/>
      <c r="AN74" s="32"/>
      <c r="AO74" s="32"/>
      <c r="AP74" s="32"/>
      <c r="AQ74" s="113"/>
      <c r="AR74" s="113"/>
      <c r="AS74" s="113"/>
      <c r="AT74" s="113"/>
      <c r="AU74" s="113"/>
      <c r="AV74" s="113"/>
      <c r="AW74" s="113"/>
      <c r="AX74" s="113"/>
      <c r="AY74" s="131"/>
      <c r="AZ74" s="131"/>
      <c r="BA74" s="31"/>
      <c r="BB74" s="31"/>
      <c r="BC74" s="31"/>
    </row>
    <row r="75" spans="1:55" x14ac:dyDescent="0.25"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 t="s">
        <v>90</v>
      </c>
      <c r="Y75" s="57">
        <f>IMABS(Y73)</f>
        <v>24.377777777777801</v>
      </c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32"/>
      <c r="AN75" s="32"/>
      <c r="AO75" s="32"/>
      <c r="AP75" s="32"/>
      <c r="AQ75" s="113"/>
      <c r="AR75" s="113"/>
      <c r="AS75" s="113"/>
      <c r="AT75" s="113"/>
      <c r="AU75" s="113"/>
      <c r="AV75" s="113"/>
      <c r="AW75" s="113"/>
      <c r="AX75" s="113"/>
      <c r="AY75" s="131"/>
      <c r="AZ75" s="131"/>
      <c r="BA75" s="31"/>
      <c r="BB75" s="31"/>
      <c r="BC75" s="31"/>
    </row>
    <row r="76" spans="1:55" x14ac:dyDescent="0.25"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32"/>
      <c r="AN76" s="32"/>
      <c r="AO76" s="32"/>
      <c r="AP76" s="32"/>
      <c r="AQ76" s="113"/>
      <c r="AR76" s="113"/>
      <c r="AS76" s="113"/>
      <c r="AT76" s="113"/>
      <c r="AU76" s="113"/>
      <c r="AV76" s="113"/>
      <c r="AW76" s="113"/>
      <c r="AX76" s="113"/>
      <c r="AY76" s="131"/>
      <c r="AZ76" s="131"/>
      <c r="BA76" s="31"/>
      <c r="BB76" s="31"/>
      <c r="BC76" s="31"/>
    </row>
    <row r="77" spans="1:55" x14ac:dyDescent="0.25"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32"/>
      <c r="AN77" s="32"/>
      <c r="AO77" s="32"/>
      <c r="AP77" s="32"/>
      <c r="AQ77" s="113"/>
      <c r="AR77" s="113"/>
      <c r="AS77" s="113"/>
      <c r="AT77" s="113"/>
      <c r="AU77" s="113"/>
      <c r="AV77" s="113"/>
      <c r="AW77" s="113"/>
      <c r="AX77" s="113"/>
      <c r="AY77" s="131"/>
      <c r="AZ77" s="131"/>
      <c r="BA77" s="31"/>
      <c r="BB77" s="31"/>
      <c r="BC77" s="31"/>
    </row>
    <row r="78" spans="1:55" x14ac:dyDescent="0.25"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32"/>
      <c r="AN78" s="32"/>
      <c r="AO78" s="32"/>
      <c r="AP78" s="32"/>
      <c r="AQ78" s="113"/>
      <c r="AR78" s="113"/>
      <c r="AS78" s="113"/>
      <c r="AT78" s="113"/>
      <c r="AU78" s="113"/>
      <c r="AV78" s="113"/>
      <c r="AW78" s="113"/>
      <c r="AX78" s="113"/>
      <c r="AY78" s="131"/>
      <c r="AZ78" s="131"/>
      <c r="BA78" s="31"/>
      <c r="BB78" s="31"/>
      <c r="BC78" s="31"/>
    </row>
    <row r="79" spans="1:55" x14ac:dyDescent="0.25"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32"/>
      <c r="AK79" s="32"/>
      <c r="AL79" s="32"/>
      <c r="AM79" s="32"/>
      <c r="AN79" s="32"/>
      <c r="AO79" s="32"/>
      <c r="AP79" s="32"/>
      <c r="AQ79" s="113"/>
      <c r="AR79" s="113"/>
      <c r="AS79" s="113"/>
      <c r="AT79" s="113"/>
      <c r="AU79" s="113"/>
      <c r="AV79" s="113"/>
      <c r="AW79" s="113"/>
      <c r="AX79" s="113"/>
      <c r="AY79" s="131"/>
      <c r="AZ79" s="131"/>
      <c r="BA79" s="31"/>
      <c r="BB79" s="31"/>
      <c r="BC79" s="31"/>
    </row>
    <row r="80" spans="1:55" x14ac:dyDescent="0.25"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32"/>
      <c r="AK80" s="32"/>
      <c r="AL80" s="32"/>
      <c r="AM80" s="32"/>
      <c r="AN80" s="32"/>
      <c r="AO80" s="32"/>
      <c r="AP80" s="32"/>
      <c r="AQ80" s="113"/>
      <c r="AR80" s="113"/>
      <c r="AS80" s="113"/>
      <c r="AT80" s="113"/>
      <c r="AU80" s="113"/>
      <c r="AV80" s="113"/>
      <c r="AW80" s="113"/>
      <c r="AX80" s="113"/>
      <c r="AY80" s="131"/>
      <c r="AZ80" s="131"/>
      <c r="BA80" s="31"/>
      <c r="BB80" s="31"/>
      <c r="BC80" s="31"/>
    </row>
    <row r="81" spans="11:55" x14ac:dyDescent="0.25"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32"/>
      <c r="AK81" s="32"/>
      <c r="AL81" s="32"/>
      <c r="AM81" s="32"/>
      <c r="AN81" s="32"/>
      <c r="AO81" s="32"/>
      <c r="AP81" s="32"/>
      <c r="AQ81" s="113"/>
      <c r="AR81" s="113"/>
      <c r="AS81" s="113"/>
      <c r="AT81" s="113"/>
      <c r="AU81" s="113"/>
      <c r="AV81" s="113"/>
      <c r="AW81" s="113"/>
      <c r="AX81" s="113"/>
      <c r="AY81" s="131"/>
      <c r="AZ81" s="131"/>
      <c r="BA81" s="31"/>
      <c r="BB81" s="31"/>
      <c r="BC81" s="31"/>
    </row>
    <row r="82" spans="11:55" x14ac:dyDescent="0.25"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32"/>
      <c r="AK82" s="32"/>
      <c r="AL82" s="32"/>
      <c r="AM82" s="32"/>
      <c r="AN82" s="32"/>
      <c r="AO82" s="32"/>
      <c r="AP82" s="32"/>
      <c r="AQ82" s="113"/>
      <c r="AR82" s="113"/>
      <c r="AS82" s="113"/>
      <c r="AT82" s="113"/>
      <c r="AU82" s="113"/>
      <c r="AV82" s="113"/>
      <c r="AW82" s="113"/>
      <c r="AX82" s="113"/>
      <c r="AY82" s="131"/>
      <c r="AZ82" s="131"/>
      <c r="BA82" s="31"/>
      <c r="BB82" s="31"/>
      <c r="BC82" s="31"/>
    </row>
    <row r="83" spans="11:55" x14ac:dyDescent="0.25">
      <c r="K83" s="57"/>
      <c r="L83" s="57"/>
      <c r="M83" s="57"/>
      <c r="N83" s="57"/>
      <c r="O83" s="57"/>
      <c r="P83" s="57" t="s">
        <v>72</v>
      </c>
      <c r="Q83" s="136" t="s">
        <v>75</v>
      </c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32"/>
      <c r="AK83" s="32"/>
      <c r="AL83" s="32"/>
      <c r="AM83" s="32"/>
      <c r="AN83" s="32"/>
      <c r="AO83" s="32"/>
      <c r="AP83" s="32"/>
      <c r="AQ83" s="113"/>
      <c r="AR83" s="113"/>
      <c r="AS83" s="113"/>
      <c r="AT83" s="113"/>
      <c r="AU83" s="113"/>
      <c r="AV83" s="113"/>
      <c r="AW83" s="113"/>
      <c r="AX83" s="113"/>
      <c r="AY83" s="131"/>
      <c r="AZ83" s="131"/>
      <c r="BA83" s="31"/>
      <c r="BB83" s="31"/>
      <c r="BC83" s="31"/>
    </row>
    <row r="84" spans="11:55" x14ac:dyDescent="0.25">
      <c r="K84" s="57"/>
      <c r="L84" s="57"/>
      <c r="M84" s="57"/>
      <c r="N84" s="57"/>
      <c r="O84" s="57" t="s">
        <v>96</v>
      </c>
      <c r="P84" s="57">
        <f>+Q32*COS(RADIANS(0))</f>
        <v>219.39310229205779</v>
      </c>
      <c r="Q84" s="57">
        <f>+Q32*SIN(RADIANS(0))</f>
        <v>0</v>
      </c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32"/>
      <c r="AK84" s="32"/>
      <c r="AL84" s="32"/>
      <c r="AM84" s="32"/>
      <c r="AN84" s="32"/>
      <c r="AO84" s="32"/>
      <c r="AP84" s="32"/>
      <c r="AQ84" s="113"/>
      <c r="AR84" s="113"/>
      <c r="AS84" s="113"/>
      <c r="AT84" s="113"/>
      <c r="AU84" s="113"/>
      <c r="AV84" s="113"/>
      <c r="AW84" s="113"/>
      <c r="AX84" s="113"/>
      <c r="AY84" s="131"/>
      <c r="AZ84" s="131"/>
      <c r="BA84" s="31"/>
      <c r="BB84" s="31"/>
      <c r="BC84" s="31"/>
    </row>
    <row r="85" spans="11:55" x14ac:dyDescent="0.25">
      <c r="K85" s="57"/>
      <c r="L85" s="57"/>
      <c r="M85" s="57"/>
      <c r="N85" s="57"/>
      <c r="O85" s="57" t="s">
        <v>97</v>
      </c>
      <c r="P85" s="57">
        <f>IF(B2="directa",Q32*COS(RADIANS(240)),IF(B2="indirecta",Q32*COS(RADIANS(120)),"col. Sec."))</f>
        <v>-109.69655114602899</v>
      </c>
      <c r="Q85" s="57">
        <f>IF(B2="directa",Q32*SIN(RADIANS(240)),IF(B2="indirecta",Q32*SIN(RADIANS(120)),"col. Sec."))</f>
        <v>-189.99999999999994</v>
      </c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32"/>
      <c r="AK85" s="32"/>
      <c r="AL85" s="32"/>
      <c r="AM85" s="32"/>
      <c r="AN85" s="32"/>
      <c r="AO85" s="32"/>
      <c r="AP85" s="32"/>
      <c r="AQ85" s="113"/>
      <c r="AR85" s="113"/>
      <c r="AS85" s="113"/>
      <c r="AT85" s="113"/>
      <c r="AU85" s="113"/>
      <c r="AV85" s="113"/>
      <c r="AW85" s="113"/>
      <c r="AX85" s="113"/>
      <c r="AY85" s="131"/>
      <c r="AZ85" s="131"/>
      <c r="BA85" s="31"/>
      <c r="BB85" s="31"/>
      <c r="BC85" s="31"/>
    </row>
    <row r="86" spans="11:55" x14ac:dyDescent="0.25">
      <c r="K86" s="57"/>
      <c r="L86" s="57"/>
      <c r="M86" s="57"/>
      <c r="N86" s="57"/>
      <c r="O86" s="57" t="s">
        <v>98</v>
      </c>
      <c r="P86" s="57">
        <f>IF(B2="directa",Q32*COS(RADIANS(120)),IF(B2="indirecta",Q32*COS(RADIANS(240)),"col. Sec."))</f>
        <v>-109.69655114602885</v>
      </c>
      <c r="Q86" s="57">
        <f>IF(B2="directa",Q32*SIN(RADIANS(120)),IF(B2="indirecta",Q32*SIN(RADIANS(240)),"col. Sec."))</f>
        <v>190</v>
      </c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32"/>
      <c r="AK86" s="32"/>
      <c r="AL86" s="32"/>
      <c r="AM86" s="32"/>
      <c r="AN86" s="32"/>
      <c r="AO86" s="32"/>
      <c r="AP86" s="32"/>
      <c r="AQ86" s="113"/>
      <c r="AR86" s="113"/>
      <c r="AS86" s="113"/>
      <c r="AT86" s="113"/>
      <c r="AU86" s="113"/>
      <c r="AV86" s="113"/>
      <c r="AW86" s="113"/>
      <c r="AX86" s="113"/>
      <c r="AY86" s="131"/>
      <c r="AZ86" s="131"/>
      <c r="BA86" s="31"/>
      <c r="BB86" s="31"/>
      <c r="BC86" s="31"/>
    </row>
    <row r="87" spans="11:55" x14ac:dyDescent="0.25"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32"/>
      <c r="AK87" s="32"/>
      <c r="AL87" s="32"/>
      <c r="AM87" s="32"/>
      <c r="AN87" s="32"/>
      <c r="AO87" s="32"/>
      <c r="AP87" s="32"/>
      <c r="AQ87" s="113"/>
      <c r="AR87" s="113"/>
      <c r="AS87" s="113"/>
      <c r="AT87" s="113"/>
      <c r="AU87" s="113"/>
      <c r="AV87" s="113"/>
      <c r="AW87" s="113"/>
      <c r="AX87" s="113"/>
      <c r="AY87" s="131"/>
      <c r="AZ87" s="131"/>
      <c r="BA87" s="31"/>
      <c r="BB87" s="31"/>
      <c r="BC87" s="31"/>
    </row>
    <row r="88" spans="11:55" x14ac:dyDescent="0.25"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32"/>
      <c r="AK88" s="32"/>
      <c r="AL88" s="32"/>
      <c r="AM88" s="32"/>
      <c r="AN88" s="32"/>
      <c r="AO88" s="32"/>
      <c r="AP88" s="32"/>
      <c r="AQ88" s="113"/>
      <c r="AR88" s="113"/>
      <c r="AS88" s="113"/>
      <c r="AT88" s="113"/>
      <c r="AU88" s="113"/>
      <c r="AV88" s="113"/>
      <c r="AW88" s="113"/>
      <c r="AX88" s="113"/>
      <c r="AY88" s="131"/>
      <c r="AZ88" s="131"/>
      <c r="BA88" s="31"/>
      <c r="BB88" s="31"/>
      <c r="BC88" s="31"/>
    </row>
    <row r="89" spans="11:55" x14ac:dyDescent="0.25">
      <c r="K89" s="57"/>
      <c r="L89" s="57"/>
      <c r="M89" s="57"/>
      <c r="N89" s="57"/>
      <c r="O89" s="57"/>
      <c r="P89" s="57" t="s">
        <v>72</v>
      </c>
      <c r="Q89" s="57" t="s">
        <v>73</v>
      </c>
      <c r="R89" s="57" t="s">
        <v>220</v>
      </c>
      <c r="S89" s="57" t="s">
        <v>90</v>
      </c>
      <c r="T89" s="57" t="s">
        <v>91</v>
      </c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32"/>
      <c r="AK89" s="32"/>
      <c r="AL89" s="32"/>
      <c r="AM89" s="32"/>
      <c r="AN89" s="32"/>
      <c r="AO89" s="32"/>
      <c r="AP89" s="32"/>
      <c r="AQ89" s="113"/>
      <c r="AR89" s="113"/>
      <c r="AS89" s="113"/>
      <c r="AT89" s="113"/>
      <c r="AU89" s="113"/>
      <c r="AV89" s="113"/>
      <c r="AW89" s="113"/>
      <c r="AX89" s="113"/>
      <c r="AY89" s="131"/>
      <c r="AZ89" s="131"/>
      <c r="BA89" s="31"/>
      <c r="BB89" s="31"/>
      <c r="BC89" s="31"/>
    </row>
    <row r="90" spans="11:55" x14ac:dyDescent="0.25">
      <c r="K90" s="57"/>
      <c r="L90" s="57"/>
      <c r="M90" s="57" t="s">
        <v>201</v>
      </c>
      <c r="N90" s="57"/>
      <c r="O90" s="57" t="s">
        <v>200</v>
      </c>
      <c r="P90" s="57">
        <f>+P84-AA74</f>
        <v>243.77088006983558</v>
      </c>
      <c r="Q90" s="57">
        <f>+Q84-AB74</f>
        <v>-2.9866396778550166E-15</v>
      </c>
      <c r="R90" s="57" t="str">
        <f>COMPLEX(P90,Q90)</f>
        <v>243,770880069836-2,98663967785502E-15i</v>
      </c>
      <c r="S90" s="57">
        <f>IMABS(R90)</f>
        <v>243.77088006983601</v>
      </c>
      <c r="T90" s="57">
        <f>DEGREES(IMARGUMENT(R90))</f>
        <v>-7.019782199513785E-16</v>
      </c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32"/>
      <c r="AK90" s="32"/>
      <c r="AL90" s="32"/>
      <c r="AM90" s="32"/>
      <c r="AN90" s="32"/>
      <c r="AO90" s="32"/>
      <c r="AP90" s="32"/>
      <c r="AQ90" s="113"/>
      <c r="AR90" s="113"/>
      <c r="AS90" s="113"/>
      <c r="AT90" s="113"/>
      <c r="AU90" s="113"/>
      <c r="AV90" s="113"/>
      <c r="AW90" s="113"/>
      <c r="AX90" s="113"/>
      <c r="AY90" s="131"/>
      <c r="AZ90" s="131"/>
      <c r="BA90" s="31"/>
      <c r="BB90" s="31"/>
      <c r="BC90" s="31"/>
    </row>
    <row r="91" spans="11:55" x14ac:dyDescent="0.25">
      <c r="K91" s="57"/>
      <c r="L91" s="57"/>
      <c r="M91" s="57" t="s">
        <v>202</v>
      </c>
      <c r="N91" s="57"/>
      <c r="O91" s="57" t="s">
        <v>205</v>
      </c>
      <c r="P91" s="57">
        <f>+P85-AA74</f>
        <v>-85.318773368251186</v>
      </c>
      <c r="Q91" s="57">
        <f>+Q85-AB74</f>
        <v>-189.99999999999994</v>
      </c>
      <c r="R91" s="57" t="str">
        <f>COMPLEX(P91,Q91)</f>
        <v>-85,3187733682512-190i</v>
      </c>
      <c r="S91" s="57">
        <f t="shared" ref="S91:S92" si="9">IMABS(R91)</f>
        <v>208.27696245399542</v>
      </c>
      <c r="T91" s="57">
        <f>DEGREES(IMARGUMENT(R91))</f>
        <v>-114.18228202185011</v>
      </c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32"/>
      <c r="AK91" s="32"/>
      <c r="AL91" s="32"/>
      <c r="AM91" s="32"/>
      <c r="AN91" s="32"/>
      <c r="AO91" s="32"/>
      <c r="AP91" s="32"/>
      <c r="AQ91" s="113"/>
      <c r="AR91" s="113"/>
      <c r="AS91" s="113"/>
      <c r="AT91" s="113"/>
      <c r="AU91" s="113"/>
      <c r="AV91" s="113"/>
      <c r="AW91" s="113"/>
      <c r="AX91" s="113"/>
      <c r="AY91" s="131"/>
      <c r="AZ91" s="131"/>
      <c r="BA91" s="31"/>
      <c r="BB91" s="31"/>
      <c r="BC91" s="31"/>
    </row>
    <row r="92" spans="11:55" x14ac:dyDescent="0.25">
      <c r="K92" s="57"/>
      <c r="L92" s="57"/>
      <c r="M92" s="57" t="s">
        <v>203</v>
      </c>
      <c r="N92" s="57"/>
      <c r="O92" s="57" t="s">
        <v>204</v>
      </c>
      <c r="P92" s="57">
        <f>+P86-AA74</f>
        <v>-85.318773368251044</v>
      </c>
      <c r="Q92" s="57">
        <f>+Q86-AB74</f>
        <v>190</v>
      </c>
      <c r="R92" s="57" t="str">
        <f>COMPLEX(P92,Q92)</f>
        <v>-85,318773368251+190i</v>
      </c>
      <c r="S92" s="57">
        <f t="shared" si="9"/>
        <v>208.27696245399534</v>
      </c>
      <c r="T92" s="57">
        <f t="shared" ref="T92" si="10">DEGREES(IMARGUMENT(R92))</f>
        <v>114.18228202185007</v>
      </c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32"/>
      <c r="AK92" s="32"/>
      <c r="AL92" s="32"/>
      <c r="AM92" s="32"/>
      <c r="AN92" s="32"/>
      <c r="AO92" s="32"/>
      <c r="AP92" s="32"/>
      <c r="AQ92" s="113"/>
      <c r="AR92" s="113"/>
      <c r="AS92" s="113"/>
      <c r="AT92" s="113"/>
      <c r="AU92" s="113"/>
      <c r="AV92" s="113"/>
      <c r="AW92" s="113"/>
      <c r="AX92" s="113"/>
      <c r="AY92" s="131"/>
      <c r="AZ92" s="131"/>
      <c r="BA92" s="31"/>
      <c r="BB92" s="31"/>
      <c r="BC92" s="31"/>
    </row>
    <row r="93" spans="11:55" x14ac:dyDescent="0.25"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32"/>
      <c r="AK93" s="32"/>
      <c r="AL93" s="32"/>
      <c r="AM93" s="32"/>
      <c r="AN93" s="32"/>
      <c r="AO93" s="32"/>
      <c r="AP93" s="32"/>
      <c r="AQ93" s="113"/>
      <c r="AR93" s="113"/>
      <c r="AS93" s="113"/>
      <c r="AT93" s="113"/>
      <c r="AU93" s="113"/>
      <c r="AV93" s="113"/>
      <c r="AW93" s="113"/>
      <c r="AX93" s="113"/>
      <c r="AY93" s="131"/>
      <c r="AZ93" s="131"/>
      <c r="BA93" s="31"/>
      <c r="BB93" s="31"/>
      <c r="BC93" s="31"/>
    </row>
    <row r="94" spans="11:55" x14ac:dyDescent="0.25"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32"/>
      <c r="AK94" s="32"/>
      <c r="AL94" s="32"/>
      <c r="AM94" s="32"/>
      <c r="AN94" s="32"/>
      <c r="AO94" s="32"/>
      <c r="AP94" s="32"/>
      <c r="AQ94" s="113"/>
      <c r="AR94" s="113"/>
      <c r="AS94" s="113"/>
      <c r="AT94" s="113"/>
      <c r="AU94" s="113"/>
      <c r="AV94" s="113"/>
      <c r="AW94" s="113"/>
      <c r="AX94" s="113"/>
      <c r="AY94" s="131"/>
      <c r="AZ94" s="131"/>
      <c r="BA94" s="31"/>
      <c r="BB94" s="31"/>
      <c r="BC94" s="31"/>
    </row>
    <row r="95" spans="11:55" x14ac:dyDescent="0.25"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32"/>
      <c r="AK95" s="32"/>
      <c r="AL95" s="32"/>
      <c r="AM95" s="32"/>
      <c r="AN95" s="32"/>
      <c r="AO95" s="32"/>
      <c r="AP95" s="32"/>
      <c r="AQ95" s="113"/>
      <c r="AR95" s="113"/>
      <c r="AS95" s="113"/>
      <c r="AT95" s="113"/>
      <c r="AU95" s="113"/>
      <c r="AV95" s="113"/>
      <c r="AW95" s="113"/>
      <c r="AX95" s="113"/>
      <c r="AY95" s="131"/>
      <c r="AZ95" s="131"/>
      <c r="BA95" s="31"/>
      <c r="BB95" s="31"/>
      <c r="BC95" s="31"/>
    </row>
    <row r="96" spans="11:55" x14ac:dyDescent="0.25"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32"/>
      <c r="AK96" s="32"/>
      <c r="AL96" s="32"/>
      <c r="AM96" s="32"/>
      <c r="AN96" s="32"/>
      <c r="AO96" s="32"/>
      <c r="AP96" s="32"/>
      <c r="AQ96" s="113"/>
      <c r="AR96" s="113"/>
      <c r="AS96" s="113"/>
      <c r="AT96" s="113"/>
      <c r="AU96" s="113"/>
      <c r="AV96" s="113"/>
      <c r="AW96" s="113"/>
      <c r="AX96" s="113"/>
      <c r="AY96" s="131"/>
      <c r="AZ96" s="131"/>
      <c r="BA96" s="31"/>
      <c r="BB96" s="31"/>
      <c r="BC96" s="31"/>
    </row>
    <row r="97" spans="11:55" x14ac:dyDescent="0.25"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32"/>
      <c r="AK97" s="32"/>
      <c r="AL97" s="32"/>
      <c r="AM97" s="32"/>
      <c r="AN97" s="32"/>
      <c r="AO97" s="32"/>
      <c r="AP97" s="32"/>
      <c r="AQ97" s="113"/>
      <c r="AR97" s="113"/>
      <c r="AS97" s="113"/>
      <c r="AT97" s="113"/>
      <c r="AU97" s="113"/>
      <c r="AV97" s="113"/>
      <c r="AW97" s="113"/>
      <c r="AX97" s="113"/>
      <c r="AY97" s="131"/>
      <c r="AZ97" s="131"/>
      <c r="BA97" s="31"/>
      <c r="BB97" s="31"/>
      <c r="BC97" s="31"/>
    </row>
    <row r="98" spans="11:55" x14ac:dyDescent="0.25"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32"/>
      <c r="AK98" s="32"/>
      <c r="AL98" s="32"/>
      <c r="AM98" s="32"/>
      <c r="AN98" s="32"/>
      <c r="AO98" s="32"/>
      <c r="AP98" s="32"/>
      <c r="AQ98" s="113"/>
      <c r="AR98" s="113"/>
      <c r="AS98" s="113"/>
      <c r="AT98" s="113"/>
      <c r="AU98" s="113"/>
      <c r="AV98" s="113"/>
      <c r="AW98" s="113"/>
      <c r="AX98" s="113"/>
      <c r="AY98" s="131"/>
      <c r="AZ98" s="131"/>
      <c r="BA98" s="31"/>
      <c r="BB98" s="31"/>
      <c r="BC98" s="31"/>
    </row>
    <row r="99" spans="11:55" x14ac:dyDescent="0.25"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32"/>
      <c r="AK99" s="32"/>
      <c r="AL99" s="32"/>
      <c r="AM99" s="32"/>
      <c r="AN99" s="32"/>
      <c r="AO99" s="32"/>
      <c r="AP99" s="32"/>
      <c r="AQ99" s="113"/>
      <c r="AR99" s="113"/>
      <c r="AS99" s="113"/>
      <c r="AT99" s="113"/>
      <c r="AU99" s="113"/>
      <c r="AV99" s="113"/>
      <c r="AW99" s="113"/>
      <c r="AX99" s="113"/>
      <c r="AY99" s="131"/>
      <c r="AZ99" s="131"/>
      <c r="BA99" s="31"/>
      <c r="BB99" s="31"/>
      <c r="BC99" s="31"/>
    </row>
    <row r="100" spans="11:55" x14ac:dyDescent="0.25"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32"/>
      <c r="AK100" s="32"/>
      <c r="AL100" s="32"/>
      <c r="AM100" s="32"/>
      <c r="AN100" s="32"/>
      <c r="AO100" s="32"/>
      <c r="AP100" s="32"/>
      <c r="AQ100" s="113"/>
      <c r="AR100" s="113"/>
      <c r="AS100" s="113"/>
      <c r="AT100" s="113"/>
      <c r="AU100" s="113"/>
      <c r="AV100" s="113"/>
      <c r="AW100" s="113"/>
      <c r="AX100" s="113"/>
      <c r="AY100" s="131"/>
      <c r="AZ100" s="131"/>
      <c r="BA100" s="31"/>
      <c r="BB100" s="31"/>
      <c r="BC100" s="31"/>
    </row>
    <row r="101" spans="11:55" x14ac:dyDescent="0.25"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32"/>
      <c r="AK101" s="32"/>
      <c r="AL101" s="32"/>
      <c r="AM101" s="32"/>
      <c r="AN101" s="32"/>
      <c r="AO101" s="32"/>
      <c r="AP101" s="32"/>
      <c r="AQ101" s="113"/>
      <c r="AR101" s="113"/>
      <c r="AS101" s="113"/>
      <c r="AT101" s="113"/>
      <c r="AU101" s="113"/>
      <c r="AV101" s="113"/>
      <c r="AW101" s="113"/>
      <c r="AX101" s="113"/>
      <c r="AY101" s="131"/>
      <c r="AZ101" s="131"/>
      <c r="BA101" s="31"/>
      <c r="BB101" s="31"/>
      <c r="BC101" s="31"/>
    </row>
    <row r="102" spans="11:55" x14ac:dyDescent="0.25"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32"/>
      <c r="AK102" s="32"/>
      <c r="AL102" s="32"/>
      <c r="AM102" s="32"/>
      <c r="AN102" s="32"/>
      <c r="AO102" s="32"/>
      <c r="AP102" s="32"/>
      <c r="AQ102" s="113"/>
      <c r="AR102" s="113"/>
      <c r="AS102" s="113"/>
      <c r="AT102" s="113"/>
      <c r="AU102" s="113"/>
      <c r="AV102" s="113"/>
      <c r="AW102" s="113"/>
      <c r="AX102" s="113"/>
      <c r="AY102" s="131"/>
      <c r="AZ102" s="131"/>
      <c r="BA102" s="31"/>
      <c r="BB102" s="31"/>
      <c r="BC102" s="31"/>
    </row>
    <row r="103" spans="11:55" x14ac:dyDescent="0.25"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32"/>
      <c r="AK103" s="32"/>
      <c r="AL103" s="32"/>
      <c r="AM103" s="32"/>
      <c r="AN103" s="32"/>
      <c r="AO103" s="32"/>
      <c r="AP103" s="32"/>
      <c r="AQ103" s="113"/>
      <c r="AR103" s="113"/>
      <c r="AS103" s="112"/>
      <c r="AT103" s="112"/>
      <c r="AU103" s="112"/>
      <c r="AV103" s="112"/>
      <c r="AW103" s="112"/>
      <c r="AX103" s="112"/>
      <c r="AY103" s="134"/>
      <c r="AZ103" s="134"/>
    </row>
    <row r="104" spans="11:55" x14ac:dyDescent="0.25">
      <c r="K104" s="57"/>
      <c r="L104" s="57"/>
      <c r="M104" s="57"/>
      <c r="N104" s="57"/>
      <c r="O104" s="49"/>
      <c r="P104" s="49"/>
      <c r="Q104" s="49"/>
      <c r="R104" s="49"/>
      <c r="S104" s="49"/>
      <c r="T104" s="49"/>
      <c r="U104" s="49"/>
      <c r="V104" s="49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32"/>
      <c r="AK104" s="32"/>
      <c r="AL104" s="32"/>
      <c r="AM104" s="32"/>
      <c r="AN104" s="32"/>
      <c r="AO104" s="32"/>
      <c r="AP104" s="32"/>
      <c r="AQ104" s="113"/>
      <c r="AR104" s="113"/>
      <c r="AS104" s="112"/>
      <c r="AT104" s="112"/>
      <c r="AU104" s="112"/>
      <c r="AV104" s="112"/>
      <c r="AW104" s="112"/>
      <c r="AX104" s="112"/>
      <c r="AY104" s="134"/>
      <c r="AZ104" s="134"/>
    </row>
    <row r="105" spans="11:55" x14ac:dyDescent="0.25">
      <c r="K105" s="57"/>
      <c r="L105" s="57"/>
      <c r="M105" s="57"/>
      <c r="N105" s="57"/>
      <c r="O105" s="49"/>
      <c r="P105" s="49"/>
      <c r="Q105" s="49"/>
      <c r="R105" s="49"/>
      <c r="S105" s="49"/>
      <c r="T105" s="49"/>
      <c r="U105" s="49"/>
      <c r="V105" s="49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32"/>
      <c r="AK105" s="32"/>
      <c r="AL105" s="32"/>
      <c r="AM105" s="32"/>
      <c r="AN105" s="32"/>
      <c r="AO105" s="32"/>
      <c r="AP105" s="32"/>
      <c r="AQ105" s="113"/>
      <c r="AR105" s="113"/>
      <c r="AS105" s="112"/>
      <c r="AT105" s="112"/>
      <c r="AU105" s="112"/>
      <c r="AV105" s="112"/>
      <c r="AW105" s="112"/>
      <c r="AX105" s="112"/>
      <c r="AY105" s="134"/>
      <c r="AZ105" s="134"/>
    </row>
    <row r="106" spans="11:55" x14ac:dyDescent="0.25">
      <c r="K106" s="57"/>
      <c r="L106" s="57"/>
      <c r="M106" s="57"/>
      <c r="N106" s="57"/>
      <c r="O106" s="49"/>
      <c r="P106" s="49"/>
      <c r="Q106" s="49"/>
      <c r="R106" s="49"/>
      <c r="S106" s="49"/>
      <c r="T106" s="49"/>
      <c r="U106" s="49"/>
      <c r="V106" s="49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32"/>
      <c r="AK106" s="32"/>
      <c r="AL106" s="32"/>
      <c r="AM106" s="32"/>
      <c r="AN106" s="32"/>
      <c r="AO106" s="32"/>
      <c r="AP106" s="32"/>
      <c r="AQ106" s="113"/>
      <c r="AR106" s="113"/>
      <c r="AS106" s="112"/>
      <c r="AT106" s="112"/>
      <c r="AU106" s="112"/>
      <c r="AV106" s="112"/>
      <c r="AW106" s="112"/>
      <c r="AX106" s="112"/>
      <c r="AY106" s="134"/>
      <c r="AZ106" s="134"/>
    </row>
    <row r="107" spans="11:55" x14ac:dyDescent="0.25">
      <c r="K107" s="57"/>
      <c r="L107" s="57"/>
      <c r="M107" s="57"/>
      <c r="N107" s="57"/>
      <c r="O107" s="49"/>
      <c r="P107" s="49"/>
      <c r="Q107" s="49"/>
      <c r="R107" s="49"/>
      <c r="S107" s="49"/>
      <c r="T107" s="49"/>
      <c r="U107" s="49"/>
      <c r="V107" s="49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32"/>
      <c r="AK107" s="32"/>
      <c r="AL107" s="32"/>
      <c r="AM107" s="32"/>
      <c r="AN107" s="32"/>
      <c r="AO107" s="32"/>
      <c r="AP107" s="32"/>
      <c r="AQ107" s="113"/>
      <c r="AR107" s="113"/>
      <c r="AS107" s="112"/>
      <c r="AT107" s="112"/>
      <c r="AU107" s="112"/>
      <c r="AV107" s="112"/>
      <c r="AW107" s="112"/>
      <c r="AX107" s="112"/>
      <c r="AY107" s="134"/>
      <c r="AZ107" s="134"/>
    </row>
    <row r="108" spans="11:55" x14ac:dyDescent="0.25">
      <c r="K108" s="57"/>
      <c r="L108" s="57"/>
      <c r="M108" s="57"/>
      <c r="N108" s="57"/>
      <c r="O108" s="49"/>
      <c r="P108" s="49"/>
      <c r="Q108" s="49"/>
      <c r="R108" s="49"/>
      <c r="S108" s="49"/>
      <c r="T108" s="49"/>
      <c r="U108" s="49"/>
      <c r="V108" s="49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32"/>
      <c r="AK108" s="32"/>
      <c r="AL108" s="32"/>
      <c r="AM108" s="32"/>
      <c r="AN108" s="32"/>
      <c r="AO108" s="32"/>
      <c r="AP108" s="32"/>
      <c r="AQ108" s="113"/>
      <c r="AR108" s="113"/>
      <c r="AS108" s="112"/>
      <c r="AT108" s="112"/>
      <c r="AU108" s="112"/>
      <c r="AV108" s="112"/>
      <c r="AW108" s="112"/>
      <c r="AX108" s="112"/>
      <c r="AY108" s="134"/>
      <c r="AZ108" s="134"/>
    </row>
    <row r="109" spans="11:55" x14ac:dyDescent="0.25">
      <c r="K109" s="57"/>
      <c r="L109" s="57"/>
      <c r="M109" s="57"/>
      <c r="N109" s="57"/>
      <c r="O109" s="49"/>
      <c r="P109" s="49"/>
      <c r="Q109" s="49"/>
      <c r="R109" s="49"/>
      <c r="S109" s="49"/>
      <c r="T109" s="49"/>
      <c r="U109" s="49"/>
      <c r="V109" s="49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32"/>
      <c r="AK109" s="32"/>
      <c r="AL109" s="32"/>
      <c r="AM109" s="32"/>
      <c r="AN109" s="32"/>
      <c r="AO109" s="32"/>
      <c r="AP109" s="32"/>
      <c r="AQ109" s="113"/>
      <c r="AR109" s="113"/>
      <c r="AS109" s="112"/>
      <c r="AT109" s="112"/>
      <c r="AU109" s="112"/>
      <c r="AV109" s="112"/>
      <c r="AW109" s="112"/>
      <c r="AX109" s="112"/>
      <c r="AY109" s="134"/>
      <c r="AZ109" s="134"/>
    </row>
    <row r="110" spans="11:55" x14ac:dyDescent="0.25">
      <c r="K110" s="57"/>
      <c r="L110" s="32"/>
      <c r="M110" s="32"/>
      <c r="N110" s="32"/>
      <c r="O110" s="49"/>
      <c r="P110" s="49"/>
      <c r="Q110" s="49"/>
      <c r="R110" s="49"/>
      <c r="S110" s="49"/>
      <c r="T110" s="49"/>
      <c r="U110" s="49"/>
      <c r="V110" s="49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113"/>
      <c r="AR110" s="113"/>
      <c r="AS110" s="112"/>
      <c r="AT110" s="112"/>
      <c r="AU110" s="112"/>
      <c r="AV110" s="112"/>
      <c r="AW110" s="112"/>
      <c r="AX110" s="112"/>
      <c r="AY110" s="134"/>
      <c r="AZ110" s="134"/>
    </row>
    <row r="111" spans="11:55" x14ac:dyDescent="0.25">
      <c r="K111" s="57"/>
      <c r="L111" s="32"/>
      <c r="M111" s="32"/>
      <c r="N111" s="32"/>
      <c r="O111" s="49"/>
      <c r="P111" s="49"/>
      <c r="Q111" s="49"/>
      <c r="R111" s="49"/>
      <c r="S111" s="49"/>
      <c r="T111" s="49"/>
      <c r="U111" s="49"/>
      <c r="V111" s="49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113"/>
      <c r="AR111" s="113"/>
      <c r="AS111" s="112"/>
      <c r="AT111" s="112"/>
      <c r="AU111" s="112"/>
      <c r="AV111" s="112"/>
      <c r="AW111" s="112"/>
      <c r="AX111" s="112"/>
      <c r="AY111" s="134"/>
      <c r="AZ111" s="134"/>
    </row>
    <row r="112" spans="11:55" x14ac:dyDescent="0.25">
      <c r="K112" s="9"/>
      <c r="L112" s="32"/>
      <c r="M112" s="32"/>
      <c r="N112" s="32"/>
      <c r="O112" s="49"/>
      <c r="P112" s="49"/>
      <c r="Q112" s="49"/>
      <c r="R112" s="49"/>
      <c r="S112" s="49"/>
      <c r="T112" s="49"/>
      <c r="U112" s="49"/>
      <c r="V112" s="49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112"/>
      <c r="AR112" s="112"/>
      <c r="AS112" s="112"/>
      <c r="AT112" s="112"/>
      <c r="AU112" s="112"/>
      <c r="AV112" s="112"/>
      <c r="AW112" s="112"/>
      <c r="AX112" s="112"/>
      <c r="AY112" s="134"/>
      <c r="AZ112" s="134"/>
    </row>
    <row r="113" spans="11:52" x14ac:dyDescent="0.25">
      <c r="K113" s="9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112"/>
      <c r="AR113" s="112"/>
      <c r="AS113" s="112"/>
      <c r="AT113" s="112"/>
      <c r="AU113" s="112"/>
      <c r="AV113" s="112"/>
      <c r="AW113" s="112"/>
      <c r="AX113" s="112"/>
      <c r="AY113" s="134"/>
      <c r="AZ113" s="134"/>
    </row>
    <row r="114" spans="11:52" x14ac:dyDescent="0.25">
      <c r="K114" s="9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112"/>
      <c r="AR114" s="112"/>
      <c r="AS114" s="112"/>
      <c r="AT114" s="112"/>
      <c r="AU114" s="112"/>
      <c r="AV114" s="112"/>
      <c r="AW114" s="112"/>
      <c r="AX114" s="112"/>
      <c r="AY114" s="134"/>
      <c r="AZ114" s="134"/>
    </row>
    <row r="115" spans="11:52" x14ac:dyDescent="0.25">
      <c r="K115" s="9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112"/>
      <c r="AR115" s="112"/>
      <c r="AS115" s="112"/>
      <c r="AT115" s="112"/>
      <c r="AU115" s="112"/>
      <c r="AV115" s="112"/>
      <c r="AW115" s="112"/>
      <c r="AX115" s="112"/>
      <c r="AY115" s="134"/>
      <c r="AZ115" s="134"/>
    </row>
    <row r="116" spans="11:52" x14ac:dyDescent="0.25">
      <c r="K116" s="9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112"/>
      <c r="AR116" s="112"/>
      <c r="AS116" s="112"/>
      <c r="AT116" s="112"/>
      <c r="AU116" s="112"/>
      <c r="AV116" s="112"/>
      <c r="AW116" s="112"/>
      <c r="AX116" s="112"/>
      <c r="AY116" s="134"/>
      <c r="AZ116" s="134"/>
    </row>
    <row r="117" spans="11:52" x14ac:dyDescent="0.25">
      <c r="K117" s="9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112"/>
      <c r="AR117" s="112"/>
      <c r="AS117" s="112"/>
      <c r="AT117" s="112"/>
      <c r="AU117" s="112"/>
      <c r="AV117" s="112"/>
      <c r="AW117" s="112"/>
      <c r="AX117" s="112"/>
      <c r="AY117" s="134"/>
      <c r="AZ117" s="134"/>
    </row>
    <row r="118" spans="11:52" x14ac:dyDescent="0.25">
      <c r="K118" s="9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112"/>
      <c r="AR118" s="112"/>
      <c r="AS118" s="112"/>
      <c r="AT118" s="112"/>
      <c r="AU118" s="112"/>
      <c r="AV118" s="112"/>
      <c r="AW118" s="112"/>
      <c r="AX118" s="112"/>
      <c r="AY118" s="134"/>
      <c r="AZ118" s="134"/>
    </row>
    <row r="119" spans="11:52" x14ac:dyDescent="0.25">
      <c r="K119" s="9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112"/>
      <c r="AR119" s="112"/>
      <c r="AS119" s="112"/>
      <c r="AT119" s="112"/>
      <c r="AU119" s="112"/>
      <c r="AV119" s="112"/>
      <c r="AW119" s="112"/>
      <c r="AX119" s="112"/>
      <c r="AY119" s="134"/>
      <c r="AZ119" s="134"/>
    </row>
    <row r="120" spans="11:52" x14ac:dyDescent="0.25">
      <c r="K120" s="9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</row>
    <row r="121" spans="11:52" x14ac:dyDescent="0.25">
      <c r="K121" s="9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</row>
    <row r="122" spans="11:52" x14ac:dyDescent="0.25"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122"/>
      <c r="AI122" s="122"/>
    </row>
    <row r="123" spans="11:52" x14ac:dyDescent="0.25"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122"/>
      <c r="AI123" s="122"/>
    </row>
    <row r="124" spans="11:52" x14ac:dyDescent="0.25"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122"/>
      <c r="AI124" s="122"/>
    </row>
    <row r="125" spans="11:52" x14ac:dyDescent="0.25"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122"/>
      <c r="AI125" s="122"/>
    </row>
    <row r="126" spans="11:52" x14ac:dyDescent="0.25"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122"/>
      <c r="AI126" s="122"/>
    </row>
    <row r="127" spans="11:52" x14ac:dyDescent="0.25"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122"/>
      <c r="AI127" s="122"/>
    </row>
  </sheetData>
  <customSheetViews>
    <customSheetView guid="{3A3E5509-6F94-4D69-A7C4-CEBE4E279804}" scale="40" showGridLines="0">
      <selection activeCell="N42" sqref="N42"/>
      <pageMargins left="0.7" right="0.7" top="0.75" bottom="0.75" header="0.3" footer="0.3"/>
      <pageSetup paperSize="9" orientation="portrait" horizontalDpi="0" verticalDpi="0" r:id="rId1"/>
    </customSheetView>
  </customSheetViews>
  <mergeCells count="53">
    <mergeCell ref="A70:G72"/>
    <mergeCell ref="L2:M2"/>
    <mergeCell ref="L3:M3"/>
    <mergeCell ref="L4:M4"/>
    <mergeCell ref="L1:N1"/>
    <mergeCell ref="A54:G57"/>
    <mergeCell ref="A61:G62"/>
    <mergeCell ref="A63:G63"/>
    <mergeCell ref="A67:G69"/>
    <mergeCell ref="F31:G31"/>
    <mergeCell ref="I31:J31"/>
    <mergeCell ref="L30:Q30"/>
    <mergeCell ref="E4:G4"/>
    <mergeCell ref="I4:J4"/>
    <mergeCell ref="O5:P5"/>
    <mergeCell ref="A6:A9"/>
    <mergeCell ref="P68:Q68"/>
    <mergeCell ref="R68:S68"/>
    <mergeCell ref="F40:G40"/>
    <mergeCell ref="F41:G41"/>
    <mergeCell ref="F44:G44"/>
    <mergeCell ref="F45:G45"/>
    <mergeCell ref="F46:G46"/>
    <mergeCell ref="L52:R53"/>
    <mergeCell ref="F38:G38"/>
    <mergeCell ref="I38:J38"/>
    <mergeCell ref="F32:G32"/>
    <mergeCell ref="I32:J32"/>
    <mergeCell ref="L32:M32"/>
    <mergeCell ref="O18:P18"/>
    <mergeCell ref="A27:P28"/>
    <mergeCell ref="U32:V32"/>
    <mergeCell ref="F33:G33"/>
    <mergeCell ref="F36:G36"/>
    <mergeCell ref="I36:J36"/>
    <mergeCell ref="O32:P32"/>
    <mergeCell ref="E1:G1"/>
    <mergeCell ref="I1:J1"/>
    <mergeCell ref="E2:G2"/>
    <mergeCell ref="I2:J2"/>
    <mergeCell ref="E3:G3"/>
    <mergeCell ref="I3:J3"/>
    <mergeCell ref="R6:U6"/>
    <mergeCell ref="O9:P9"/>
    <mergeCell ref="R10:U11"/>
    <mergeCell ref="O12:P12"/>
    <mergeCell ref="R14:U15"/>
    <mergeCell ref="V62:W62"/>
    <mergeCell ref="AB61:AE62"/>
    <mergeCell ref="X71:AB72"/>
    <mergeCell ref="W6:Z6"/>
    <mergeCell ref="W10:Z11"/>
    <mergeCell ref="W14:Z15"/>
  </mergeCells>
  <pageMargins left="0.7" right="0.7" top="0.75" bottom="0.75" header="0.3" footer="0.3"/>
  <pageSetup paperSize="9" orientation="portrait" horizontalDpi="0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autoPageBreaks="0"/>
  </sheetPr>
  <dimension ref="A1:BW266"/>
  <sheetViews>
    <sheetView showGridLines="0" topLeftCell="A7" zoomScale="70" zoomScaleNormal="70" workbookViewId="0">
      <selection activeCell="R26" sqref="R26"/>
    </sheetView>
  </sheetViews>
  <sheetFormatPr baseColWidth="10" defaultRowHeight="15" x14ac:dyDescent="0.25"/>
  <cols>
    <col min="1" max="1" width="41.7109375" customWidth="1"/>
    <col min="7" max="7" width="18.42578125" customWidth="1"/>
    <col min="8" max="8" width="9.140625" customWidth="1"/>
    <col min="9" max="9" width="13.42578125" customWidth="1"/>
    <col min="10" max="10" width="15.5703125" customWidth="1"/>
    <col min="18" max="18" width="11.5703125" bestFit="1" customWidth="1"/>
    <col min="20" max="20" width="11.5703125" bestFit="1" customWidth="1"/>
    <col min="22" max="22" width="11.5703125" bestFit="1" customWidth="1"/>
    <col min="25" max="25" width="13.7109375" bestFit="1" customWidth="1"/>
    <col min="26" max="26" width="20.7109375" bestFit="1" customWidth="1"/>
    <col min="29" max="29" width="11.5703125" bestFit="1" customWidth="1"/>
    <col min="30" max="30" width="15.28515625" customWidth="1"/>
    <col min="31" max="31" width="56.7109375" customWidth="1"/>
    <col min="32" max="33" width="16.28515625" customWidth="1"/>
    <col min="34" max="34" width="20.5703125" customWidth="1"/>
    <col min="39" max="39" width="11.42578125" customWidth="1"/>
  </cols>
  <sheetData>
    <row r="1" spans="1:75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57"/>
      <c r="V1" s="57" t="s">
        <v>72</v>
      </c>
      <c r="W1" s="57" t="s">
        <v>73</v>
      </c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</row>
    <row r="2" spans="1:75" ht="21" x14ac:dyDescent="0.35">
      <c r="A2" s="40" t="s">
        <v>40</v>
      </c>
      <c r="B2" s="34" t="s">
        <v>195</v>
      </c>
      <c r="C2" s="32"/>
      <c r="D2" s="32"/>
      <c r="E2" s="198" t="s">
        <v>192</v>
      </c>
      <c r="F2" s="199"/>
      <c r="G2" s="200"/>
      <c r="H2" s="32"/>
      <c r="I2" s="201" t="s">
        <v>193</v>
      </c>
      <c r="J2" s="201"/>
      <c r="K2" s="32"/>
      <c r="L2" s="32"/>
      <c r="M2" s="32"/>
      <c r="N2" s="32"/>
      <c r="O2" s="30" t="s">
        <v>9</v>
      </c>
      <c r="P2" s="30" t="s">
        <v>10</v>
      </c>
      <c r="Q2" s="32"/>
      <c r="R2" s="32"/>
      <c r="S2" s="32"/>
      <c r="T2" s="32"/>
      <c r="U2" s="57" t="s">
        <v>43</v>
      </c>
      <c r="V2" s="57">
        <f>R4*COS(RADIANS(S4))</f>
        <v>-25.333333333333332</v>
      </c>
      <c r="W2" s="57">
        <f>R4*SIN(RADIANS(S4))</f>
        <v>3.1037094191018371E-15</v>
      </c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</row>
    <row r="3" spans="1:75" ht="21" x14ac:dyDescent="0.35">
      <c r="A3" s="33"/>
      <c r="C3" s="32"/>
      <c r="D3" s="32"/>
      <c r="E3" s="198" t="str">
        <f>IF(B2="directa",CONCATENATE("Vac= ",B4,"*e^150ºj"),IF(B2="indirecta",CONCATENATE("Vac=",B4,"*e^30ºj"),"coloque sec."))</f>
        <v>Vac= 380*e^150ºj</v>
      </c>
      <c r="F3" s="199"/>
      <c r="G3" s="200"/>
      <c r="H3" s="32"/>
      <c r="I3" s="201" t="str">
        <f>IF(B2="directa",CONCATENATE("Van=",ROUND(B4/SQRT(3),1),"*e^","0ºj"),IF(B2="indirecta",CONCATENATE("Van=",ROUND(B4/SQRT(3),1),"*e^","0ºj"),"coloque secuencia"))</f>
        <v>Van=219,4*e^0ºj</v>
      </c>
      <c r="J3" s="201"/>
      <c r="K3" s="32"/>
      <c r="L3" s="32"/>
      <c r="M3" s="32"/>
      <c r="N3" s="32"/>
      <c r="O3" s="33"/>
      <c r="P3" s="33"/>
      <c r="Q3" s="32"/>
      <c r="R3" s="49"/>
      <c r="S3" s="49"/>
      <c r="T3" s="49"/>
      <c r="U3" s="57" t="s">
        <v>42</v>
      </c>
      <c r="V3" s="57">
        <f>R8*COS(RADIANS(S8))</f>
        <v>32.908965343808674</v>
      </c>
      <c r="W3" s="57">
        <f>R8*SIN(RADIANS(S8))</f>
        <v>18.999999999999996</v>
      </c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  <c r="BN3" s="32"/>
      <c r="BO3" s="32"/>
      <c r="BP3" s="32"/>
      <c r="BQ3" s="32"/>
      <c r="BR3" s="32"/>
      <c r="BS3" s="32"/>
      <c r="BT3" s="32"/>
      <c r="BU3" s="32"/>
      <c r="BV3" s="32"/>
      <c r="BW3" s="32"/>
    </row>
    <row r="4" spans="1:75" ht="21" x14ac:dyDescent="0.35">
      <c r="A4" s="40" t="s">
        <v>70</v>
      </c>
      <c r="B4" s="35">
        <v>380</v>
      </c>
      <c r="C4" s="32"/>
      <c r="D4" s="32"/>
      <c r="E4" s="198" t="str">
        <f>IF(B2="directa",CONCATENATE("Vab= ",B4,"*e^30ºj"),IF(B2="indirecta",CONCATENATE("Vab=",B4,"*e^150ºj"),"coloque sec."))</f>
        <v>Vab= 380*e^30ºj</v>
      </c>
      <c r="F4" s="199"/>
      <c r="G4" s="200"/>
      <c r="H4" s="32"/>
      <c r="I4" s="201" t="str">
        <f>IF(B2="directa",CONCATENATE("Vbn=",ROUND(B4/SQRT(3),1),"*e^","240ºj"),IF(B2="indirecta",CONCATENATE("Vbn=",ROUND(B4/SQRT(3),1),"*e^","120ºj"),"coloque secuencia"))</f>
        <v>Vbn=219,4*e^240ºj</v>
      </c>
      <c r="J4" s="201"/>
      <c r="K4" s="32"/>
      <c r="L4" s="32"/>
      <c r="M4" s="32"/>
      <c r="N4" s="32"/>
      <c r="O4" s="33"/>
      <c r="P4" s="33"/>
      <c r="Q4" s="32"/>
      <c r="R4" s="32">
        <f>(B4/O7)</f>
        <v>25.333333333333332</v>
      </c>
      <c r="S4" s="32">
        <f>IF(B2="directa",(150)-(P7),IF(B2="indirecta",(30)-(P7),"vacio"))</f>
        <v>180</v>
      </c>
      <c r="T4" s="49"/>
      <c r="U4" s="57" t="s">
        <v>41</v>
      </c>
      <c r="V4" s="57">
        <f>R12*COS(RADIANS(S12))</f>
        <v>-19.000000000000018</v>
      </c>
      <c r="W4" s="57">
        <f>R12*SIN(RADIANS(S12))</f>
        <v>-32.90896534380866</v>
      </c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</row>
    <row r="5" spans="1:75" ht="21" x14ac:dyDescent="0.35">
      <c r="A5" s="31"/>
      <c r="C5" s="32"/>
      <c r="D5" s="32"/>
      <c r="E5" s="198" t="str">
        <f>IF(B2="directa",CONCATENATE("Vbc= ",B4,"*e^270ºj"),IF(B2="indirecta",CONCATENATE("Vbc=",B4,"*e^270ºj"),"coloque sec."))</f>
        <v>Vbc= 380*e^270ºj</v>
      </c>
      <c r="F5" s="199"/>
      <c r="G5" s="200"/>
      <c r="H5" s="32"/>
      <c r="I5" s="201" t="str">
        <f>IF(B2="directa",CONCATENATE("Vcn=",ROUND((B4/SQRT(3)),1),"*e^","120ºj"),IF(B2="indirecta",CONCATENATE("Vcn=",ROUND((B4)/(SQRT(3)),1),"*e^","240ºj"),"coloque secuencia"))</f>
        <v>Vcn=219,4*e^120ºj</v>
      </c>
      <c r="J5" s="201"/>
      <c r="K5" s="32"/>
      <c r="L5" s="32"/>
      <c r="M5" s="32"/>
      <c r="N5" s="32"/>
      <c r="O5" s="33"/>
      <c r="P5" s="33"/>
      <c r="Q5" s="32"/>
      <c r="R5" s="32">
        <f>R4</f>
        <v>25.333333333333332</v>
      </c>
      <c r="S5" s="32">
        <f>ROUND(S4,3)</f>
        <v>180</v>
      </c>
      <c r="T5" s="49"/>
      <c r="U5" s="49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2"/>
    </row>
    <row r="6" spans="1:75" ht="23.25" x14ac:dyDescent="0.35">
      <c r="A6" s="21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221" t="s">
        <v>242</v>
      </c>
      <c r="P6" s="221"/>
      <c r="Q6" s="32"/>
      <c r="R6" s="192" t="str">
        <f>CONCATENATE("Iz1 o Iac= ",ROUND(R5,3),"*e^",S4,"º*j")</f>
        <v>Iz1 o Iac= 25,333*e^180º*j</v>
      </c>
      <c r="S6" s="192"/>
      <c r="T6" s="192"/>
      <c r="U6" s="192"/>
      <c r="V6" s="32"/>
      <c r="W6" s="192" t="str">
        <f>CONCATENATE("Iz1 o Iac =",ROUND(V2,3),IF(W2&gt;0,CONCATENATE("+",ROUND(W2,3)),ROUND(W2,3)),"*j")</f>
        <v>Iz1 o Iac =-25,333+0*j</v>
      </c>
      <c r="X6" s="192"/>
      <c r="Y6" s="192"/>
      <c r="Z6" s="19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</row>
    <row r="7" spans="1:75" x14ac:dyDescent="0.25">
      <c r="A7" s="212"/>
      <c r="C7" s="32"/>
      <c r="D7" s="46" t="s">
        <v>39</v>
      </c>
      <c r="E7" s="32"/>
      <c r="F7" s="32"/>
      <c r="G7" s="32"/>
      <c r="H7" s="32"/>
      <c r="I7" s="49" t="s">
        <v>48</v>
      </c>
      <c r="J7" s="32"/>
      <c r="K7" s="32"/>
      <c r="L7" s="46" t="s">
        <v>39</v>
      </c>
      <c r="M7" s="32"/>
      <c r="N7" s="32"/>
      <c r="O7" s="30">
        <v>15</v>
      </c>
      <c r="P7" s="30">
        <v>-30</v>
      </c>
      <c r="Q7" s="32"/>
      <c r="R7" s="43"/>
      <c r="S7" s="43"/>
      <c r="T7" s="5"/>
      <c r="U7" s="5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</row>
    <row r="8" spans="1:75" x14ac:dyDescent="0.25">
      <c r="A8" s="21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1"/>
      <c r="P8" s="31"/>
      <c r="Q8" s="32"/>
      <c r="R8" s="119">
        <f>(+B4/O11)</f>
        <v>38</v>
      </c>
      <c r="S8" s="119">
        <f>IF(B2="directa",(30)-(P11),IF(B2="indirecta",(150)-(P11),"vacio"))</f>
        <v>30</v>
      </c>
      <c r="T8" s="5"/>
      <c r="U8" s="5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</row>
    <row r="9" spans="1:75" x14ac:dyDescent="0.25">
      <c r="A9" s="21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1"/>
      <c r="P9" s="31"/>
      <c r="Q9" s="32"/>
      <c r="R9" s="119">
        <f>R8</f>
        <v>38</v>
      </c>
      <c r="S9" s="119">
        <f>ROUND(S8,3)</f>
        <v>30</v>
      </c>
      <c r="T9" s="5"/>
      <c r="U9" s="5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</row>
    <row r="10" spans="1:75" ht="15" customHeight="1" x14ac:dyDescent="0.25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219" t="s">
        <v>243</v>
      </c>
      <c r="P10" s="220"/>
      <c r="Q10" s="32"/>
      <c r="R10" s="192" t="str">
        <f>CONCATENATE("Iz3 o Iab= ",ROUND(R9,3),"*e^",S9,"º*j")</f>
        <v>Iz3 o Iab= 38*e^30º*j</v>
      </c>
      <c r="S10" s="192"/>
      <c r="T10" s="192"/>
      <c r="U10" s="192"/>
      <c r="V10" s="32"/>
      <c r="W10" s="192" t="str">
        <f>CONCATENATE("Iz3 o Iab =",ROUND(V3,3),IF(W3&gt;0,CONCATENATE("+",ROUND(W3,3)),ROUND(W3,3)),"*j")</f>
        <v>Iz3 o Iab =32,909+19*j</v>
      </c>
      <c r="X10" s="192"/>
      <c r="Y10" s="192"/>
      <c r="Z10" s="19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</row>
    <row r="11" spans="1:75" ht="15" customHeight="1" x14ac:dyDescent="0.25">
      <c r="A11" s="40" t="s">
        <v>45</v>
      </c>
      <c r="B11" s="35" t="s">
        <v>51</v>
      </c>
      <c r="C11" s="32"/>
      <c r="D11" s="32"/>
      <c r="E11" s="32"/>
      <c r="F11" s="32"/>
      <c r="G11" s="191" t="s">
        <v>253</v>
      </c>
      <c r="H11" s="191"/>
      <c r="I11" s="191"/>
      <c r="J11" s="32"/>
      <c r="K11" s="32"/>
      <c r="L11" s="32"/>
      <c r="M11" s="32"/>
      <c r="N11" s="32"/>
      <c r="O11" s="30">
        <v>10</v>
      </c>
      <c r="P11" s="30">
        <v>0</v>
      </c>
      <c r="Q11" s="32"/>
      <c r="R11" s="192"/>
      <c r="S11" s="192"/>
      <c r="T11" s="192"/>
      <c r="U11" s="192"/>
      <c r="V11" s="32"/>
      <c r="W11" s="192"/>
      <c r="X11" s="192"/>
      <c r="Y11" s="192"/>
      <c r="Z11" s="19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</row>
    <row r="12" spans="1:75" x14ac:dyDescent="0.25">
      <c r="A12" s="31"/>
      <c r="C12" s="32"/>
      <c r="D12" s="32"/>
      <c r="E12" s="32"/>
      <c r="F12" s="32"/>
      <c r="G12" s="191"/>
      <c r="H12" s="191"/>
      <c r="I12" s="191"/>
      <c r="J12" s="32"/>
      <c r="K12" s="32"/>
      <c r="L12" s="32"/>
      <c r="M12" s="32"/>
      <c r="N12" s="32"/>
      <c r="O12" s="31"/>
      <c r="P12" s="32"/>
      <c r="Q12" s="32"/>
      <c r="R12" s="119">
        <f>(B4/O14)</f>
        <v>38</v>
      </c>
      <c r="S12" s="119">
        <f>IF(B2="directa",(270)-(P14),IF(B2="indirecta",(270)-(P14),"vacio"))</f>
        <v>240</v>
      </c>
      <c r="T12" s="5"/>
      <c r="U12" s="5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</row>
    <row r="13" spans="1:75" x14ac:dyDescent="0.25">
      <c r="C13" s="32"/>
      <c r="D13" s="32"/>
      <c r="E13" s="32"/>
      <c r="F13" s="32"/>
      <c r="G13" s="191"/>
      <c r="H13" s="191"/>
      <c r="I13" s="191"/>
      <c r="J13" s="32"/>
      <c r="K13" s="32"/>
      <c r="L13" s="44"/>
      <c r="M13" s="32"/>
      <c r="N13" s="32"/>
      <c r="O13" s="221" t="s">
        <v>229</v>
      </c>
      <c r="P13" s="221"/>
      <c r="Q13" s="32"/>
      <c r="R13" s="119">
        <f>R12</f>
        <v>38</v>
      </c>
      <c r="S13" s="119">
        <f>ROUND(S12,3)</f>
        <v>240</v>
      </c>
      <c r="T13" s="5"/>
      <c r="U13" s="5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</row>
    <row r="14" spans="1:75" ht="15" customHeight="1" x14ac:dyDescent="0.25">
      <c r="A14" s="40" t="s">
        <v>69</v>
      </c>
      <c r="B14" s="35" t="s">
        <v>188</v>
      </c>
      <c r="C14" s="32"/>
      <c r="D14" s="32"/>
      <c r="E14" s="32"/>
      <c r="F14" s="32"/>
      <c r="G14" s="191"/>
      <c r="H14" s="191"/>
      <c r="I14" s="191"/>
      <c r="J14" s="32"/>
      <c r="K14" s="32"/>
      <c r="L14" s="32"/>
      <c r="M14" s="32"/>
      <c r="N14" s="32"/>
      <c r="O14" s="30">
        <v>10</v>
      </c>
      <c r="P14" s="42">
        <v>30</v>
      </c>
      <c r="Q14" s="32"/>
      <c r="R14" s="192" t="str">
        <f>CONCATENATE("Iz2 o Ibc= ",ROUND(R13,3),"*e^",S13,"º*j")</f>
        <v>Iz2 o Ibc= 38*e^240º*j</v>
      </c>
      <c r="S14" s="192"/>
      <c r="T14" s="192"/>
      <c r="U14" s="192"/>
      <c r="V14" s="32"/>
      <c r="W14" s="192" t="str">
        <f>CONCATENATE("Iz2 o Ibc =",ROUND(V4,3),IF(W4&gt;0,CONCATENATE("+",ROUND(W4,3)),ROUND(W4,3)),"*j")</f>
        <v>Iz2 o Ibc =-19-32,909*j</v>
      </c>
      <c r="X14" s="192"/>
      <c r="Y14" s="192"/>
      <c r="Z14" s="19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</row>
    <row r="15" spans="1:75" ht="15" customHeight="1" x14ac:dyDescent="0.25">
      <c r="A15" s="32"/>
      <c r="B15" s="32"/>
      <c r="C15" s="32"/>
      <c r="D15" s="32"/>
      <c r="E15" s="32"/>
      <c r="F15" s="32"/>
      <c r="G15" s="191"/>
      <c r="H15" s="191"/>
      <c r="I15" s="191"/>
      <c r="J15" s="32"/>
      <c r="K15" s="32"/>
      <c r="L15" s="32"/>
      <c r="M15" s="32"/>
      <c r="N15" s="32"/>
      <c r="Q15" s="32"/>
      <c r="R15" s="192"/>
      <c r="S15" s="192"/>
      <c r="T15" s="192"/>
      <c r="U15" s="192"/>
      <c r="V15" s="32"/>
      <c r="W15" s="192"/>
      <c r="X15" s="192"/>
      <c r="Y15" s="192"/>
      <c r="Z15" s="19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</row>
    <row r="16" spans="1:75" x14ac:dyDescent="0.25">
      <c r="A16" s="32"/>
      <c r="B16" s="32"/>
      <c r="C16" s="32"/>
      <c r="D16" s="32"/>
      <c r="E16" s="32"/>
      <c r="F16" s="32"/>
      <c r="G16" s="191"/>
      <c r="H16" s="191"/>
      <c r="I16" s="191"/>
      <c r="J16" s="32"/>
      <c r="K16" s="32"/>
      <c r="L16" s="32"/>
      <c r="M16" s="32"/>
      <c r="N16" s="32"/>
      <c r="O16" s="32"/>
      <c r="P16" s="32"/>
      <c r="Q16" s="32"/>
      <c r="R16" s="49"/>
      <c r="S16" s="49"/>
      <c r="T16" s="49"/>
      <c r="U16" s="49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</row>
    <row r="17" spans="1:75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49"/>
      <c r="S17" s="49"/>
      <c r="T17" s="49"/>
      <c r="U17" s="49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</row>
    <row r="18" spans="1:75" x14ac:dyDescent="0.25">
      <c r="A18" s="32"/>
      <c r="B18" s="32"/>
      <c r="C18" s="48" t="str">
        <f>IF(B2="directa","c",IF(B2="indirecta","b",""))</f>
        <v>c</v>
      </c>
      <c r="D18" s="32"/>
      <c r="E18" s="32"/>
      <c r="F18" s="47" t="str">
        <f>IF(B2="directa","b",IF(B2="indirecta","c",""))</f>
        <v>b</v>
      </c>
      <c r="G18" s="45"/>
      <c r="H18" s="32"/>
      <c r="I18" s="32"/>
      <c r="J18" s="32"/>
      <c r="K18" s="46" t="str">
        <f>IF(B2="directa","c",IF(B2="indirecta","b",""))</f>
        <v>c</v>
      </c>
      <c r="L18" s="32"/>
      <c r="M18" s="32"/>
      <c r="N18" s="53" t="str">
        <f>IF(B2="directa","b",IF(B2="indirecta","c",""))</f>
        <v>b</v>
      </c>
      <c r="O18" s="32"/>
      <c r="P18" s="32"/>
      <c r="Q18" s="32"/>
      <c r="R18" s="49"/>
      <c r="S18" s="49"/>
      <c r="T18" s="49"/>
      <c r="U18" s="49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</row>
    <row r="19" spans="1:75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9"/>
      <c r="S19" s="49"/>
      <c r="T19" s="49"/>
      <c r="U19" s="49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</row>
    <row r="20" spans="1:75" x14ac:dyDescent="0.25">
      <c r="A20" s="49"/>
      <c r="B20" s="49"/>
      <c r="C20" s="49"/>
      <c r="D20" s="49"/>
      <c r="E20" s="49"/>
      <c r="F20" s="49"/>
      <c r="G20" s="49"/>
      <c r="H20" s="49"/>
      <c r="I20" s="49" t="str">
        <f>IF(B2=""," ",IF(B2="directa","It",IF(B2="indirecta","Is"," ")))</f>
        <v>It</v>
      </c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</row>
    <row r="21" spans="1:75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32"/>
      <c r="BO21" s="32"/>
      <c r="BP21" s="32"/>
      <c r="BQ21" s="32"/>
      <c r="BR21" s="32"/>
      <c r="BS21" s="32"/>
      <c r="BT21" s="32"/>
      <c r="BU21" s="32"/>
      <c r="BV21" s="32"/>
      <c r="BW21" s="32"/>
    </row>
    <row r="22" spans="1:75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</row>
    <row r="23" spans="1:75" x14ac:dyDescent="0.25">
      <c r="A23" s="49"/>
      <c r="B23" s="49"/>
      <c r="C23" s="49"/>
      <c r="D23" s="49"/>
      <c r="E23" s="49"/>
      <c r="F23" s="49"/>
      <c r="G23" s="49"/>
      <c r="H23" s="49" t="str">
        <f>IF(B2=""," ",IF(B2="directa","Is",IF(B2="indirecta","It"," ")))</f>
        <v>Is</v>
      </c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</row>
    <row r="24" spans="1:75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49"/>
      <c r="AZ24" s="49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</row>
    <row r="25" spans="1:75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32"/>
      <c r="M25" s="32"/>
      <c r="N25" s="32"/>
      <c r="O25" s="32"/>
      <c r="P25" s="32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BS25" s="32"/>
      <c r="BT25" s="32"/>
      <c r="BU25" s="32"/>
      <c r="BV25" s="32"/>
      <c r="BW25" s="32"/>
    </row>
    <row r="26" spans="1:75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32"/>
      <c r="M26" s="32"/>
      <c r="N26" s="32"/>
      <c r="O26" s="32"/>
      <c r="P26" s="32"/>
      <c r="Q26" s="57"/>
      <c r="R26" s="57"/>
      <c r="S26" s="57"/>
      <c r="T26" s="57"/>
      <c r="U26" s="57"/>
      <c r="V26" s="57"/>
      <c r="W26" s="57"/>
      <c r="X26" s="57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</row>
    <row r="27" spans="1:75" x14ac:dyDescent="0.25">
      <c r="A27" s="211" t="s">
        <v>46</v>
      </c>
      <c r="B27" s="211"/>
      <c r="C27" s="211"/>
      <c r="D27" s="211"/>
      <c r="E27" s="211"/>
      <c r="F27" s="211"/>
      <c r="G27" s="211"/>
      <c r="H27" s="211"/>
      <c r="I27" s="211"/>
      <c r="J27" s="211"/>
      <c r="K27" s="211"/>
      <c r="L27" s="138"/>
      <c r="M27" s="138"/>
      <c r="N27" s="138"/>
      <c r="O27" s="138"/>
      <c r="P27" s="49"/>
      <c r="Q27" s="57"/>
      <c r="R27" s="57"/>
      <c r="S27" s="57"/>
      <c r="T27" s="57"/>
      <c r="U27" s="57"/>
      <c r="V27" s="57"/>
      <c r="W27" s="57"/>
      <c r="X27" s="57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32"/>
      <c r="BV27" s="32"/>
      <c r="BW27" s="32"/>
    </row>
    <row r="28" spans="1:75" x14ac:dyDescent="0.25">
      <c r="A28" s="211"/>
      <c r="B28" s="211"/>
      <c r="C28" s="211"/>
      <c r="D28" s="211"/>
      <c r="E28" s="211"/>
      <c r="F28" s="211"/>
      <c r="G28" s="211"/>
      <c r="H28" s="211"/>
      <c r="I28" s="211"/>
      <c r="J28" s="211"/>
      <c r="K28" s="211"/>
      <c r="L28" s="138"/>
      <c r="M28" s="138"/>
      <c r="N28" s="138"/>
      <c r="O28" s="138"/>
      <c r="P28" s="49"/>
      <c r="Q28" s="57"/>
      <c r="R28" s="57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49"/>
      <c r="BH28" s="49"/>
      <c r="BI28" s="49"/>
      <c r="BJ28" s="49"/>
      <c r="BK28" s="49"/>
      <c r="BL28" s="49"/>
      <c r="BM28" s="49"/>
      <c r="BN28" s="49"/>
      <c r="BO28" s="49"/>
      <c r="BP28" s="49"/>
      <c r="BQ28" s="32"/>
      <c r="BR28" s="32"/>
      <c r="BS28" s="32"/>
      <c r="BT28" s="32"/>
      <c r="BU28" s="32"/>
      <c r="BV28" s="32"/>
      <c r="BW28" s="32"/>
    </row>
    <row r="29" spans="1:75" x14ac:dyDescent="0.25">
      <c r="K29" s="43"/>
      <c r="L29" s="49"/>
      <c r="M29" s="49"/>
      <c r="N29" s="49"/>
      <c r="O29" s="49"/>
      <c r="P29" s="49"/>
      <c r="Q29" s="57"/>
      <c r="R29" s="57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32"/>
      <c r="BR29" s="32"/>
      <c r="BS29" s="32"/>
      <c r="BT29" s="32"/>
      <c r="BU29" s="32"/>
      <c r="BV29" s="32"/>
      <c r="BW29" s="32"/>
    </row>
    <row r="30" spans="1:75" x14ac:dyDescent="0.25">
      <c r="F30" s="50"/>
      <c r="G30" s="50"/>
      <c r="K30" s="43"/>
      <c r="L30" s="230"/>
      <c r="M30" s="230"/>
      <c r="N30" s="230"/>
      <c r="O30" s="230"/>
      <c r="P30" s="230"/>
      <c r="Q30" s="57"/>
      <c r="R30" s="57"/>
      <c r="S30" s="49"/>
      <c r="T30" s="49"/>
      <c r="U30" s="49"/>
      <c r="V30" s="49"/>
      <c r="W30" s="49"/>
      <c r="X30" s="49"/>
      <c r="Y30" s="230" t="s">
        <v>79</v>
      </c>
      <c r="Z30" s="230"/>
      <c r="AA30" s="230"/>
      <c r="AB30" s="230"/>
      <c r="AC30" s="230"/>
      <c r="AD30" s="230"/>
      <c r="AE30" s="230"/>
      <c r="AF30" s="230"/>
      <c r="AG30" s="230"/>
      <c r="AH30" s="230"/>
      <c r="AI30" s="49"/>
      <c r="AJ30" s="49"/>
      <c r="AK30" s="49"/>
      <c r="AL30" s="49"/>
      <c r="AM30" s="49"/>
      <c r="AN30" s="49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49"/>
      <c r="BH30" s="49"/>
      <c r="BI30" s="49"/>
      <c r="BJ30" s="49"/>
      <c r="BK30" s="49"/>
      <c r="BL30" s="49"/>
      <c r="BM30" s="49"/>
      <c r="BN30" s="49"/>
      <c r="BO30" s="49"/>
      <c r="BP30" s="49"/>
      <c r="BQ30" s="49"/>
      <c r="BR30" s="49"/>
      <c r="BS30" s="32"/>
      <c r="BT30" s="32"/>
      <c r="BU30" s="32"/>
      <c r="BV30" s="32"/>
      <c r="BW30" s="32"/>
    </row>
    <row r="31" spans="1:75" ht="21" x14ac:dyDescent="0.35">
      <c r="A31" s="37" t="s">
        <v>47</v>
      </c>
      <c r="B31" s="36"/>
      <c r="C31" s="36"/>
      <c r="F31" s="231" t="s">
        <v>59</v>
      </c>
      <c r="G31" s="231"/>
      <c r="H31" s="41"/>
      <c r="I31" s="215" t="s">
        <v>60</v>
      </c>
      <c r="J31" s="215"/>
      <c r="K31" s="43"/>
      <c r="L31" s="49"/>
      <c r="M31" s="49"/>
      <c r="N31" s="49"/>
      <c r="O31" s="49"/>
      <c r="P31" s="49"/>
      <c r="Q31" s="57"/>
      <c r="R31" s="57"/>
      <c r="S31" s="49"/>
      <c r="T31" s="49"/>
      <c r="U31" s="49"/>
      <c r="V31" s="49"/>
      <c r="W31" s="49"/>
      <c r="X31" s="49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49"/>
      <c r="AJ31" s="49"/>
      <c r="AK31" s="49"/>
      <c r="AL31" s="49"/>
      <c r="AM31" s="49"/>
      <c r="AN31" s="49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49"/>
      <c r="BH31" s="49"/>
      <c r="BI31" s="49"/>
      <c r="BJ31" s="49"/>
      <c r="BK31" s="49"/>
      <c r="BL31" s="49"/>
      <c r="BM31" s="49"/>
      <c r="BN31" s="49"/>
      <c r="BO31" s="49"/>
      <c r="BP31" s="49"/>
      <c r="BQ31" s="49"/>
      <c r="BR31" s="49"/>
      <c r="BS31" s="32"/>
      <c r="BT31" s="32"/>
      <c r="BU31" s="32"/>
      <c r="BV31" s="32"/>
      <c r="BW31" s="32"/>
    </row>
    <row r="32" spans="1:75" ht="23.25" x14ac:dyDescent="0.35">
      <c r="A32" s="38" t="s">
        <v>48</v>
      </c>
      <c r="E32" s="41"/>
      <c r="F32" s="202" t="str">
        <f>CONCATENATE("Pz1= ",R33,"W")</f>
        <v>Pz1= 8336,938W</v>
      </c>
      <c r="G32" s="202"/>
      <c r="I32" s="197" t="str">
        <f>CONCATENATE("Ptrif.=",R38,"W")</f>
        <v>Ptrif.=35282,345W</v>
      </c>
      <c r="J32" s="197"/>
      <c r="K32" s="5"/>
      <c r="L32" s="230"/>
      <c r="M32" s="230"/>
      <c r="N32" s="230"/>
      <c r="O32" s="230"/>
      <c r="P32" s="49"/>
      <c r="Q32" s="57"/>
      <c r="R32" s="57" t="s">
        <v>64</v>
      </c>
      <c r="S32" s="49"/>
      <c r="T32" s="12" t="s">
        <v>81</v>
      </c>
      <c r="U32" s="12"/>
      <c r="V32" s="49" t="s">
        <v>82</v>
      </c>
      <c r="W32" s="49"/>
      <c r="X32" s="49"/>
      <c r="Y32" s="49" t="s">
        <v>71</v>
      </c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32"/>
      <c r="BT32" s="32"/>
      <c r="BU32" s="32"/>
      <c r="BV32" s="32"/>
      <c r="BW32" s="32"/>
    </row>
    <row r="33" spans="1:75" ht="23.25" x14ac:dyDescent="0.35">
      <c r="A33" s="39" t="str">
        <f>CONCATENATE(IF(B2="directa",AQ36,IF(B2="indirecta",AQ36,"introduce secuencia")))</f>
        <v>Ir= 61,263*e^18,068º*j</v>
      </c>
      <c r="F33" s="202" t="str">
        <f>CONCATENATE("Pz2= ",R36,"W")</f>
        <v>Pz2= 12505,407W</v>
      </c>
      <c r="G33" s="202"/>
      <c r="K33" s="5"/>
      <c r="L33" s="230"/>
      <c r="M33" s="230"/>
      <c r="N33" s="230"/>
      <c r="O33" s="49"/>
      <c r="P33" s="49"/>
      <c r="Q33" s="57"/>
      <c r="R33" s="57">
        <f>ROUND(B4*R4*COS(RADIANS(P7)),3)</f>
        <v>8336.9380000000001</v>
      </c>
      <c r="S33" s="49" t="s">
        <v>61</v>
      </c>
      <c r="T33" s="49">
        <f>ROUND(B4*R4*SIN(RADIANS(P7)),3)</f>
        <v>-4813.3329999999996</v>
      </c>
      <c r="U33" s="49" t="s">
        <v>61</v>
      </c>
      <c r="V33" s="49">
        <f>ROUND(SQRT((R33*R33)+(T33)*(T33)),3)</f>
        <v>9626.6669999999995</v>
      </c>
      <c r="W33" s="49" t="s">
        <v>61</v>
      </c>
      <c r="X33" s="49"/>
      <c r="Y33" s="49" t="s">
        <v>72</v>
      </c>
      <c r="Z33" s="49" t="s">
        <v>73</v>
      </c>
      <c r="AA33" s="49" t="s">
        <v>74</v>
      </c>
      <c r="AB33" s="49"/>
      <c r="AC33" s="49" t="s">
        <v>72</v>
      </c>
      <c r="AD33" s="49" t="s">
        <v>75</v>
      </c>
      <c r="AE33" s="49"/>
      <c r="AF33" s="49" t="s">
        <v>78</v>
      </c>
      <c r="AG33" s="49" t="s">
        <v>76</v>
      </c>
      <c r="AH33" s="49" t="s">
        <v>77</v>
      </c>
      <c r="AI33" s="49"/>
      <c r="AJ33" s="49"/>
      <c r="AK33" s="49"/>
      <c r="AL33" s="49"/>
      <c r="AM33" s="49"/>
      <c r="AN33" s="49"/>
      <c r="AO33" s="57">
        <f>SUM(R33:AN33)</f>
        <v>13150.272000000001</v>
      </c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49"/>
      <c r="BN33" s="49"/>
      <c r="BO33" s="49"/>
      <c r="BP33" s="49"/>
      <c r="BQ33" s="49"/>
      <c r="BR33" s="49"/>
      <c r="BS33" s="32"/>
      <c r="BT33" s="32"/>
      <c r="BU33" s="32"/>
      <c r="BV33" s="32"/>
      <c r="BW33" s="32"/>
    </row>
    <row r="34" spans="1:75" ht="23.25" x14ac:dyDescent="0.35">
      <c r="A34" s="39" t="str">
        <f>+AW36</f>
        <v>Ir= 58,242+19*j</v>
      </c>
      <c r="F34" s="114"/>
      <c r="G34" s="114"/>
      <c r="K34" s="5"/>
      <c r="L34" s="230"/>
      <c r="M34" s="230"/>
      <c r="N34" s="230"/>
      <c r="O34" s="49"/>
      <c r="P34" s="49"/>
      <c r="Q34" s="57"/>
      <c r="R34" s="57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49"/>
      <c r="BN34" s="49"/>
      <c r="BO34" s="49"/>
      <c r="BP34" s="49"/>
      <c r="BQ34" s="49"/>
      <c r="BR34" s="49"/>
      <c r="BS34" s="32"/>
      <c r="BT34" s="32"/>
      <c r="BU34" s="32"/>
      <c r="BV34" s="32"/>
      <c r="BW34" s="32"/>
    </row>
    <row r="35" spans="1:75" ht="23.25" x14ac:dyDescent="0.35">
      <c r="A35" s="116"/>
      <c r="F35" s="114"/>
      <c r="G35" s="114"/>
      <c r="K35" s="5"/>
      <c r="L35" s="230"/>
      <c r="M35" s="230"/>
      <c r="N35" s="230"/>
      <c r="O35" s="49"/>
      <c r="P35" s="49"/>
      <c r="Q35" s="57"/>
      <c r="R35" s="57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49"/>
      <c r="BN35" s="49"/>
      <c r="BO35" s="49"/>
      <c r="BP35" s="49"/>
      <c r="BQ35" s="49"/>
      <c r="BR35" s="49"/>
      <c r="BS35" s="32"/>
      <c r="BT35" s="32"/>
      <c r="BU35" s="32"/>
      <c r="BV35" s="32"/>
      <c r="BW35" s="32"/>
    </row>
    <row r="36" spans="1:75" ht="23.25" x14ac:dyDescent="0.35">
      <c r="F36" s="202" t="str">
        <f>CONCATENATE("Pz3= ",R37,"W")</f>
        <v>Pz3= 14440W</v>
      </c>
      <c r="G36" s="202"/>
      <c r="I36" s="197" t="str">
        <f>CONCATENATE("Qtrif.=",T38,"VAR")</f>
        <v>Qtrif.=2406,667VAR</v>
      </c>
      <c r="J36" s="197"/>
      <c r="K36" s="5"/>
      <c r="L36" s="230"/>
      <c r="M36" s="230"/>
      <c r="N36" s="230"/>
      <c r="O36" s="49"/>
      <c r="P36" s="49"/>
      <c r="Q36" s="57"/>
      <c r="R36" s="57">
        <f>ROUND(B4*R12*COS(RADIANS(P14)),3)</f>
        <v>12505.406999999999</v>
      </c>
      <c r="S36" s="49" t="s">
        <v>62</v>
      </c>
      <c r="T36" s="49">
        <f>ROUND(B4*R12*SIN(RADIANS(P14)),3)</f>
        <v>7220</v>
      </c>
      <c r="U36" s="49" t="s">
        <v>62</v>
      </c>
      <c r="V36" s="49">
        <f t="shared" ref="V36:V37" si="0">ROUND(SQRT((R36*R36)+(T36)*(T36)),3)</f>
        <v>14440</v>
      </c>
      <c r="W36" s="49" t="s">
        <v>83</v>
      </c>
      <c r="X36" s="49"/>
      <c r="Y36" s="49">
        <f>O7*COS(RADIANS(P7))</f>
        <v>12.99038105676658</v>
      </c>
      <c r="Z36" s="49">
        <f>O7^SIN(RADIANS(P7))</f>
        <v>0.25819888974716115</v>
      </c>
      <c r="AA36" s="49" t="s">
        <v>43</v>
      </c>
      <c r="AB36" s="49" t="s">
        <v>189</v>
      </c>
      <c r="AC36" s="49">
        <f>(Y44)-(Y42)</f>
        <v>58.242298677142003</v>
      </c>
      <c r="AD36" s="49">
        <f>(Z44)-(Z42)</f>
        <v>18.999999999999993</v>
      </c>
      <c r="AE36" s="49" t="str">
        <f>COMPLEX(AC36,AD36)</f>
        <v>58,242298677142+19i</v>
      </c>
      <c r="AF36" s="49">
        <f>ROUND(DEGREES(IMARGUMENT(AE36)),3)</f>
        <v>18.068000000000001</v>
      </c>
      <c r="AG36" s="49">
        <f>ROUND((IMABS(AE36)),3)</f>
        <v>61.262999999999998</v>
      </c>
      <c r="AH36" s="49" t="str">
        <f>CONCATENATE(AG36,"*e^",AF36,"º*j")</f>
        <v>61,263*e^18,068º*j</v>
      </c>
      <c r="AI36" s="49"/>
      <c r="AJ36" s="49" t="str">
        <f>CONCATENATE("Is= ",AH36)</f>
        <v>Is= 61,263*e^18,068º*j</v>
      </c>
      <c r="AK36" s="49"/>
      <c r="AL36" s="49"/>
      <c r="AM36" s="49"/>
      <c r="AN36" s="49" t="str">
        <f>CONCATENATE("It= ",AH36)</f>
        <v>It= 61,263*e^18,068º*j</v>
      </c>
      <c r="AO36" s="57">
        <f>SUM(R36:AN36)</f>
        <v>34335.228878623646</v>
      </c>
      <c r="AP36" s="57"/>
      <c r="AQ36" s="57" t="str">
        <f>CONCATENATE("Ir= ",AH36)</f>
        <v>Ir= 61,263*e^18,068º*j</v>
      </c>
      <c r="AR36" s="57"/>
      <c r="AS36" s="57" t="str">
        <f>CONCATENATE("Is= ",ROUND(AC36,3),IF(AD36&gt;0,CONCATENATE("+",ROUND(AD36,3),"*j"),CONCATENATE(ROUND(AD36,3),"*j")))</f>
        <v>Is= 58,242+19*j</v>
      </c>
      <c r="AT36" s="57"/>
      <c r="AU36" s="57" t="str">
        <f>CONCATENATE("It= ",ROUND(AC36,3),IF(AD36&gt;0,CONCATENATE("+",ROUND(AD36,3),"*j"),CONCATENATE(ROUND(AD36,3),"*j")))</f>
        <v>It= 58,242+19*j</v>
      </c>
      <c r="AV36" s="57"/>
      <c r="AW36" s="57" t="str">
        <f>CONCATENATE("Ir= ",ROUND(AC36,3),IF(AD36&gt;0,CONCATENATE("+",ROUND(AD36,3),"*j"),CONCATENATE(ROUND(AD36,3),"*j")))</f>
        <v>Ir= 58,242+19*j</v>
      </c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49"/>
      <c r="BN36" s="49"/>
      <c r="BO36" s="49"/>
      <c r="BP36" s="49"/>
      <c r="BQ36" s="49"/>
      <c r="BR36" s="49"/>
      <c r="BS36" s="32"/>
      <c r="BT36" s="32"/>
      <c r="BU36" s="32"/>
      <c r="BV36" s="32"/>
      <c r="BW36" s="32"/>
    </row>
    <row r="37" spans="1:75" ht="23.25" x14ac:dyDescent="0.25">
      <c r="A37" s="38" t="s">
        <v>50</v>
      </c>
      <c r="F37" s="50"/>
      <c r="G37" s="50"/>
      <c r="K37" s="5"/>
      <c r="L37" s="49"/>
      <c r="M37" s="49"/>
      <c r="N37" s="49"/>
      <c r="O37" s="49"/>
      <c r="P37" s="49"/>
      <c r="Q37" s="57"/>
      <c r="R37" s="57">
        <f>ROUND(B4*R8*COS(RADIANS(P11)),3)</f>
        <v>14440</v>
      </c>
      <c r="S37" s="49" t="s">
        <v>63</v>
      </c>
      <c r="T37" s="49">
        <f>ROUND(B4*R8*SIN(RADIANS(P11)),3)</f>
        <v>0</v>
      </c>
      <c r="U37" s="49" t="s">
        <v>63</v>
      </c>
      <c r="V37" s="49">
        <f t="shared" si="0"/>
        <v>14440</v>
      </c>
      <c r="W37" s="49" t="s">
        <v>63</v>
      </c>
      <c r="X37" s="49"/>
      <c r="Y37" s="49">
        <f>O14*COS(RADIANS(P14))</f>
        <v>8.6602540378443873</v>
      </c>
      <c r="Z37" s="49">
        <f>O14*SIN(RADIANS(P14))</f>
        <v>4.9999999999999991</v>
      </c>
      <c r="AA37" s="49" t="s">
        <v>41</v>
      </c>
      <c r="AB37" s="49" t="s">
        <v>190</v>
      </c>
      <c r="AC37" s="49">
        <f>+(Y42)-(Y43)</f>
        <v>-6.3333333333333144</v>
      </c>
      <c r="AD37" s="49">
        <f>+(Z42)-(Z43)</f>
        <v>32.90896534380866</v>
      </c>
      <c r="AE37" s="49" t="str">
        <f>COMPLEX(AC37,AD37)</f>
        <v>-6,33333333333331+32,9089653438087i</v>
      </c>
      <c r="AF37" s="49">
        <f t="shared" ref="AF37:AF38" si="1">ROUND(DEGREES(IMARGUMENT(AE37)),3)</f>
        <v>100.893</v>
      </c>
      <c r="AG37" s="49">
        <f>ROUND((IMABS(AE37)),3)</f>
        <v>33.512999999999998</v>
      </c>
      <c r="AH37" s="49" t="str">
        <f>CONCATENATE(AG37,"*e^",AF37,"º*j")</f>
        <v>33,513*e^100,893º*j</v>
      </c>
      <c r="AI37" s="49"/>
      <c r="AJ37" s="49" t="str">
        <f t="shared" ref="AJ37:AJ38" si="2">CONCATENATE("Is= ",AH37)</f>
        <v>Is= 33,513*e^100,893º*j</v>
      </c>
      <c r="AK37" s="49"/>
      <c r="AL37" s="49"/>
      <c r="AM37" s="49"/>
      <c r="AN37" s="49" t="str">
        <f t="shared" ref="AN37:AN38" si="3">CONCATENATE("It= ",AH37)</f>
        <v>It= 33,513*e^100,893º*j</v>
      </c>
      <c r="AO37" s="57">
        <f>SUM(R37:AN37)</f>
        <v>29054.641886048321</v>
      </c>
      <c r="AP37" s="57"/>
      <c r="AQ37" s="57"/>
      <c r="AR37" s="57"/>
      <c r="AS37" s="57" t="str">
        <f>CONCATENATE("Is= ",ROUND(AC37,3),IF(AD37&gt;0,CONCATENATE("+",ROUND(AD37,3),"*j"),CONCATENATE(ROUND(AD37,3),"*j")))</f>
        <v>Is= -6,333+32,909*j</v>
      </c>
      <c r="AT37" s="57"/>
      <c r="AU37" s="57" t="str">
        <f>CONCATENATE("It= ",ROUND(AC37,3),IF(AD37&gt;0,CONCATENATE("+",ROUND(AD37,3),"*j"),CONCATENATE(ROUND(AD37,3),"*j")))</f>
        <v>It= -6,333+32,909*j</v>
      </c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49"/>
      <c r="BN37" s="49"/>
      <c r="BO37" s="49"/>
      <c r="BP37" s="49"/>
      <c r="BQ37" s="49"/>
      <c r="BR37" s="49"/>
      <c r="BS37" s="32"/>
      <c r="BT37" s="32"/>
      <c r="BU37" s="32"/>
      <c r="BV37" s="32"/>
      <c r="BW37" s="32"/>
    </row>
    <row r="38" spans="1:75" ht="23.25" x14ac:dyDescent="0.35">
      <c r="A38" s="39" t="str">
        <f>CONCATENATE(IF(B2="directa",AJ38,IF(B2="indirecta",AJ37,"introduce secuencia")))</f>
        <v>Is= 73,41*e^-135º*j</v>
      </c>
      <c r="F38" s="202" t="str">
        <f>CONCATENATE("Qz1= ",T33," VAR")</f>
        <v>Qz1= -4813,333 VAR</v>
      </c>
      <c r="G38" s="202"/>
      <c r="I38" s="197" t="str">
        <f>CONCATENATE("Strif.=",V38,"VA")</f>
        <v>Strif.=35364,331VA</v>
      </c>
      <c r="J38" s="197"/>
      <c r="K38" s="5"/>
      <c r="L38" s="49" t="str">
        <f>IF(B22="Is",P32/N13,IF(F21="Is",P32/N10,""))</f>
        <v/>
      </c>
      <c r="M38" s="49" t="str">
        <f>IF(B22="Is",120-O13,IF(F21="Is",240-O10,""))</f>
        <v/>
      </c>
      <c r="N38" s="49"/>
      <c r="O38" s="49"/>
      <c r="P38" s="49"/>
      <c r="Q38" s="57" t="s">
        <v>67</v>
      </c>
      <c r="R38" s="57">
        <f>ROUND(SUM(R33:R37),3)</f>
        <v>35282.345000000001</v>
      </c>
      <c r="S38" s="49" t="s">
        <v>80</v>
      </c>
      <c r="T38" s="49">
        <f>ROUND(SUM(T33:T37),3)</f>
        <v>2406.6669999999999</v>
      </c>
      <c r="U38" s="49" t="s">
        <v>80</v>
      </c>
      <c r="V38" s="49">
        <f>ROUND(SQRT((R38)*(R38)+(T38)*(T38)),3)</f>
        <v>35364.330999999998</v>
      </c>
      <c r="W38" s="49" t="s">
        <v>80</v>
      </c>
      <c r="X38" s="49"/>
      <c r="Y38" s="49">
        <f>O11*COS(RADIANS(P11))</f>
        <v>10</v>
      </c>
      <c r="Z38" s="49">
        <f>O11*SIN(RADIANS(P11))</f>
        <v>0</v>
      </c>
      <c r="AA38" s="49" t="s">
        <v>42</v>
      </c>
      <c r="AB38" s="49" t="s">
        <v>191</v>
      </c>
      <c r="AC38" s="49">
        <f>+(Y43)-(Y44)</f>
        <v>-51.908965343808688</v>
      </c>
      <c r="AD38" s="49">
        <f>(Z43)-(Z44)</f>
        <v>-51.90896534380866</v>
      </c>
      <c r="AE38" s="49" t="str">
        <f>COMPLEX(AC38,AD38)</f>
        <v>-51,9089653438087-51,9089653438087i</v>
      </c>
      <c r="AF38" s="49">
        <f t="shared" si="1"/>
        <v>-135</v>
      </c>
      <c r="AG38" s="49">
        <f>ROUND((IMABS(AE38)),3)</f>
        <v>73.41</v>
      </c>
      <c r="AH38" s="49" t="str">
        <f>CONCATENATE(AG38,"*e^",AF38,"º*j")</f>
        <v>73,41*e^-135º*j</v>
      </c>
      <c r="AI38" s="49"/>
      <c r="AJ38" s="49" t="str">
        <f t="shared" si="2"/>
        <v>Is= 73,41*e^-135º*j</v>
      </c>
      <c r="AK38" s="49"/>
      <c r="AL38" s="49"/>
      <c r="AM38" s="49"/>
      <c r="AN38" s="49" t="str">
        <f t="shared" si="3"/>
        <v>It= 73,41*e^-135º*j</v>
      </c>
      <c r="AO38" s="57">
        <f>SUM(R38:AN38)</f>
        <v>72897.935069312371</v>
      </c>
      <c r="AP38" s="57"/>
      <c r="AQ38" s="57"/>
      <c r="AR38" s="57"/>
      <c r="AS38" s="57" t="str">
        <f>CONCATENATE("Is= ",ROUND(AC38,3),IF(AD38&gt;0,CONCATENATE("+",ROUND(AD38,3),"*j"),CONCATENATE(ROUND(AD38,3),"*j")))</f>
        <v>Is= -51,909-51,909*j</v>
      </c>
      <c r="AT38" s="57"/>
      <c r="AU38" s="57" t="str">
        <f>CONCATENATE("It= ",ROUND(AC38,3),IF(AD38&gt;0,CONCATENATE("+",ROUND(AD38,3),"*j"),CONCATENATE(ROUND(AD38,3),"*j")))</f>
        <v>It= -51,909-51,909*j</v>
      </c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49"/>
      <c r="BN38" s="49"/>
      <c r="BO38" s="49"/>
      <c r="BP38" s="49"/>
      <c r="BQ38" s="49"/>
      <c r="BR38" s="49"/>
      <c r="BS38" s="32"/>
      <c r="BT38" s="32"/>
      <c r="BU38" s="32"/>
      <c r="BV38" s="32"/>
      <c r="BW38" s="32"/>
    </row>
    <row r="39" spans="1:75" ht="23.25" x14ac:dyDescent="0.35">
      <c r="A39" s="39" t="str">
        <f>IF(B2="directa",AS38,IF(B2="indirecta",AS37,"coloque secuencia"))</f>
        <v>Is= -51,909-51,909*j</v>
      </c>
      <c r="F39" s="114"/>
      <c r="G39" s="114"/>
      <c r="I39" s="115"/>
      <c r="J39" s="115"/>
      <c r="K39" s="5"/>
      <c r="L39" s="49"/>
      <c r="M39" s="49"/>
      <c r="N39" s="49"/>
      <c r="O39" s="49"/>
      <c r="P39" s="49"/>
      <c r="Q39" s="57"/>
      <c r="R39" s="57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49"/>
      <c r="BN39" s="49"/>
      <c r="BO39" s="49"/>
      <c r="BP39" s="49"/>
      <c r="BQ39" s="49"/>
      <c r="BR39" s="49"/>
      <c r="BS39" s="32"/>
      <c r="BT39" s="32"/>
      <c r="BU39" s="32"/>
      <c r="BV39" s="32"/>
      <c r="BW39" s="32"/>
    </row>
    <row r="40" spans="1:75" ht="23.25" x14ac:dyDescent="0.35">
      <c r="A40" s="116"/>
      <c r="F40" s="114"/>
      <c r="G40" s="114"/>
      <c r="I40" s="115"/>
      <c r="J40" s="115"/>
      <c r="K40" s="5"/>
      <c r="L40" s="49"/>
      <c r="M40" s="49"/>
      <c r="N40" s="49"/>
      <c r="O40" s="49"/>
      <c r="P40" s="49"/>
      <c r="Q40" s="57"/>
      <c r="R40" s="57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49"/>
      <c r="BN40" s="49"/>
      <c r="BO40" s="49"/>
      <c r="BP40" s="49"/>
      <c r="BQ40" s="49"/>
      <c r="BR40" s="49"/>
      <c r="BS40" s="32"/>
      <c r="BT40" s="32"/>
      <c r="BU40" s="32"/>
      <c r="BV40" s="32"/>
      <c r="BW40" s="32"/>
    </row>
    <row r="41" spans="1:75" ht="23.25" x14ac:dyDescent="0.35">
      <c r="F41" s="202" t="str">
        <f>CONCATENATE("Qz2= ",T36," VAR")</f>
        <v>Qz2= 7220 VAR</v>
      </c>
      <c r="G41" s="202"/>
      <c r="K41" s="5"/>
      <c r="L41" s="49"/>
      <c r="M41" s="49"/>
      <c r="N41" s="49"/>
      <c r="O41" s="49"/>
      <c r="P41" s="49"/>
      <c r="Q41" s="57"/>
      <c r="R41" s="57"/>
      <c r="S41" s="49"/>
      <c r="T41" s="49"/>
      <c r="U41" s="49"/>
      <c r="V41" s="49"/>
      <c r="W41" s="49"/>
      <c r="X41" s="49"/>
      <c r="Y41" s="49" t="s">
        <v>72</v>
      </c>
      <c r="Z41" s="49" t="s">
        <v>73</v>
      </c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49"/>
      <c r="BN41" s="49"/>
      <c r="BO41" s="49"/>
      <c r="BP41" s="49"/>
      <c r="BQ41" s="49"/>
      <c r="BR41" s="49"/>
      <c r="BS41" s="32"/>
      <c r="BT41" s="32"/>
      <c r="BU41" s="32"/>
      <c r="BV41" s="32"/>
      <c r="BW41" s="32"/>
    </row>
    <row r="42" spans="1:75" ht="23.25" x14ac:dyDescent="0.35">
      <c r="A42" s="38" t="s">
        <v>49</v>
      </c>
      <c r="F42" s="202" t="str">
        <f>CONCATENATE("Qz3= ",T37," VAR")</f>
        <v>Qz3= 0 VAR</v>
      </c>
      <c r="G42" s="202"/>
      <c r="K42" s="5"/>
      <c r="L42" s="49"/>
      <c r="M42" s="49"/>
      <c r="N42" s="49"/>
      <c r="O42" s="49"/>
      <c r="P42" s="49"/>
      <c r="Q42" s="57"/>
      <c r="R42" s="57"/>
      <c r="S42" s="49"/>
      <c r="T42" s="49"/>
      <c r="U42" s="49"/>
      <c r="V42" s="49"/>
      <c r="W42" s="49" t="s">
        <v>244</v>
      </c>
      <c r="X42" s="49"/>
      <c r="Y42" s="49">
        <f>R4*COS(RADIANS(S4))</f>
        <v>-25.333333333333332</v>
      </c>
      <c r="Z42" s="49">
        <f>R4*SIN(RADIANS(S4))</f>
        <v>3.1037094191018371E-15</v>
      </c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57">
        <f>SUM(R42:AN42)</f>
        <v>-25.333333333333329</v>
      </c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49"/>
      <c r="BN42" s="49"/>
      <c r="BO42" s="49"/>
      <c r="BP42" s="49"/>
      <c r="BQ42" s="49"/>
      <c r="BR42" s="49"/>
      <c r="BS42" s="32"/>
      <c r="BT42" s="32"/>
      <c r="BU42" s="32"/>
      <c r="BV42" s="32"/>
      <c r="BW42" s="32"/>
    </row>
    <row r="43" spans="1:75" ht="23.25" x14ac:dyDescent="0.35">
      <c r="A43" s="39" t="str">
        <f>CONCATENATE(IF(B2="directa",AN37,IF(B2="indirecta",AN38,"introduce secuencia")))</f>
        <v>It= 33,513*e^100,893º*j</v>
      </c>
      <c r="F43" s="50"/>
      <c r="G43" s="50"/>
      <c r="K43" s="5"/>
      <c r="L43" s="49"/>
      <c r="M43" s="49" t="str">
        <f>IF(B22="it",120-O13,IF(F21="it",240-O10,""))</f>
        <v/>
      </c>
      <c r="N43" s="49"/>
      <c r="O43" s="49"/>
      <c r="P43" s="49"/>
      <c r="Q43" s="57"/>
      <c r="R43" s="57"/>
      <c r="S43" s="49"/>
      <c r="T43" s="49"/>
      <c r="U43" s="49"/>
      <c r="V43" s="49"/>
      <c r="W43" s="49" t="s">
        <v>245</v>
      </c>
      <c r="X43" s="49"/>
      <c r="Y43" s="49">
        <f>R12*COS(RADIANS(S12))</f>
        <v>-19.000000000000018</v>
      </c>
      <c r="Z43" s="49">
        <f>R12*SIN(RADIANS(S12))</f>
        <v>-32.90896534380866</v>
      </c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57">
        <f>SUM(R43:AN43)</f>
        <v>-51.908965343808674</v>
      </c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49"/>
      <c r="BN43" s="49"/>
      <c r="BO43" s="49"/>
      <c r="BP43" s="49"/>
      <c r="BQ43" s="49"/>
      <c r="BR43" s="49"/>
      <c r="BS43" s="32"/>
      <c r="BT43" s="32"/>
      <c r="BU43" s="32"/>
      <c r="BV43" s="32"/>
      <c r="BW43" s="32"/>
    </row>
    <row r="44" spans="1:75" x14ac:dyDescent="0.25">
      <c r="A44" s="232" t="str">
        <f>CONCATENATE(IF(B2="directa",AU37,IF(B2="indirecta",AU38,"introduce secuencia")))</f>
        <v>It= -6,333+32,909*j</v>
      </c>
      <c r="F44" s="50"/>
      <c r="G44" s="50"/>
      <c r="K44" s="5"/>
      <c r="L44" s="49"/>
      <c r="M44" s="49"/>
      <c r="N44" s="49"/>
      <c r="O44" s="49"/>
      <c r="P44" s="49"/>
      <c r="Q44" s="57"/>
      <c r="R44" s="57"/>
      <c r="S44" s="49"/>
      <c r="T44" s="49"/>
      <c r="U44" s="49"/>
      <c r="V44" s="49"/>
      <c r="W44" s="49" t="s">
        <v>246</v>
      </c>
      <c r="X44" s="49"/>
      <c r="Y44" s="49">
        <f>R8*COS(RADIANS(S8))</f>
        <v>32.908965343808674</v>
      </c>
      <c r="Z44" s="49">
        <f>R8*(SIN(RADIANS(S8)))</f>
        <v>18.999999999999996</v>
      </c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57">
        <f>SUM(R44:AN44)</f>
        <v>51.908965343808674</v>
      </c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49"/>
      <c r="BN44" s="49"/>
      <c r="BO44" s="49"/>
      <c r="BP44" s="49"/>
      <c r="BQ44" s="49"/>
      <c r="BR44" s="49"/>
      <c r="BS44" s="32"/>
      <c r="BT44" s="32"/>
      <c r="BU44" s="32"/>
      <c r="BV44" s="32"/>
      <c r="BW44" s="32"/>
    </row>
    <row r="45" spans="1:75" ht="23.25" x14ac:dyDescent="0.35">
      <c r="A45" s="232"/>
      <c r="F45" s="203" t="str">
        <f>CONCATENATE("Sz1= ",V33," VA")</f>
        <v>Sz1= 9626,667 VA</v>
      </c>
      <c r="G45" s="203"/>
      <c r="K45" s="5"/>
      <c r="L45" s="49"/>
      <c r="M45" s="49"/>
      <c r="N45" s="49"/>
      <c r="O45" s="49"/>
      <c r="P45" s="49"/>
      <c r="Q45" s="57"/>
      <c r="R45" s="57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49"/>
      <c r="BN45" s="49"/>
      <c r="BO45" s="49"/>
      <c r="BP45" s="49"/>
      <c r="BQ45" s="49"/>
      <c r="BR45" s="49"/>
      <c r="BS45" s="32"/>
      <c r="BT45" s="32"/>
      <c r="BU45" s="32"/>
      <c r="BV45" s="32"/>
      <c r="BW45" s="32"/>
    </row>
    <row r="46" spans="1:75" ht="23.25" x14ac:dyDescent="0.35">
      <c r="A46" s="55"/>
      <c r="F46" s="203" t="str">
        <f>CONCATENATE("Sz2= ",V36," VA")</f>
        <v>Sz2= 14440 VA</v>
      </c>
      <c r="G46" s="203"/>
      <c r="K46" s="5"/>
      <c r="L46" s="49"/>
      <c r="M46" s="49"/>
      <c r="N46" s="49"/>
      <c r="O46" s="49"/>
      <c r="P46" s="49"/>
      <c r="Q46" s="57"/>
      <c r="R46" s="57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49"/>
      <c r="BN46" s="49"/>
      <c r="BO46" s="49"/>
      <c r="BP46" s="49"/>
      <c r="BQ46" s="49"/>
      <c r="BR46" s="49"/>
      <c r="BS46" s="32"/>
      <c r="BT46" s="32"/>
      <c r="BU46" s="32"/>
      <c r="BV46" s="32"/>
      <c r="BW46" s="32"/>
    </row>
    <row r="47" spans="1:75" ht="23.25" x14ac:dyDescent="0.35">
      <c r="A47" s="56"/>
      <c r="F47" s="203" t="str">
        <f>CONCATENATE("Sz3= ",V37," VA")</f>
        <v>Sz3= 14440 VA</v>
      </c>
      <c r="G47" s="203"/>
      <c r="K47" s="5"/>
      <c r="L47" s="49"/>
      <c r="M47" s="49"/>
      <c r="N47" s="49"/>
      <c r="O47" s="49"/>
      <c r="P47" s="49"/>
      <c r="Q47" s="57"/>
      <c r="R47" s="57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49"/>
      <c r="BN47" s="49"/>
      <c r="BO47" s="49"/>
      <c r="BP47" s="49"/>
      <c r="BQ47" s="49"/>
      <c r="BR47" s="49"/>
      <c r="BS47" s="32"/>
      <c r="BT47" s="32"/>
      <c r="BU47" s="32"/>
      <c r="BV47" s="32"/>
      <c r="BW47" s="32"/>
    </row>
    <row r="48" spans="1:75" x14ac:dyDescent="0.25">
      <c r="F48" s="50"/>
      <c r="G48" s="50"/>
      <c r="K48" s="5"/>
      <c r="L48" s="49"/>
      <c r="M48" s="49"/>
      <c r="N48" s="49"/>
      <c r="O48" s="49"/>
      <c r="P48" s="49"/>
      <c r="Q48" s="57"/>
      <c r="R48" s="57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49"/>
      <c r="BN48" s="49"/>
      <c r="BO48" s="49"/>
      <c r="BP48" s="49"/>
      <c r="BQ48" s="49"/>
      <c r="BR48" s="49"/>
      <c r="BS48" s="32"/>
      <c r="BT48" s="32"/>
      <c r="BU48" s="32"/>
      <c r="BV48" s="32"/>
      <c r="BW48" s="32"/>
    </row>
    <row r="49" spans="1:75" x14ac:dyDescent="0.25">
      <c r="F49" s="50"/>
      <c r="G49" s="50"/>
      <c r="K49" s="5"/>
      <c r="L49" s="49"/>
      <c r="M49" s="49"/>
      <c r="N49" s="49"/>
      <c r="O49" s="49"/>
      <c r="P49" s="49"/>
      <c r="Q49" s="57"/>
      <c r="R49" s="57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49"/>
      <c r="BN49" s="49"/>
      <c r="BO49" s="49"/>
      <c r="BP49" s="49"/>
      <c r="BQ49" s="49"/>
      <c r="BR49" s="49"/>
      <c r="BS49" s="32"/>
      <c r="BT49" s="32"/>
      <c r="BU49" s="32"/>
      <c r="BV49" s="32"/>
      <c r="BW49" s="32"/>
    </row>
    <row r="50" spans="1:75" x14ac:dyDescent="0.25">
      <c r="F50" s="50"/>
      <c r="G50" s="50"/>
      <c r="K50" s="5"/>
      <c r="L50" s="49"/>
      <c r="M50" s="49"/>
      <c r="N50" s="49"/>
      <c r="O50" s="49"/>
      <c r="P50" s="49"/>
      <c r="Q50" s="57"/>
      <c r="R50" s="57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49"/>
      <c r="BN50" s="49"/>
      <c r="BO50" s="49"/>
      <c r="BP50" s="49"/>
      <c r="BQ50" s="49"/>
      <c r="BR50" s="49"/>
      <c r="BS50" s="32"/>
      <c r="BT50" s="32"/>
      <c r="BU50" s="32"/>
      <c r="BV50" s="32"/>
      <c r="BW50" s="32"/>
    </row>
    <row r="51" spans="1:75" x14ac:dyDescent="0.25">
      <c r="F51" s="50"/>
      <c r="G51" s="50"/>
      <c r="K51" s="5"/>
      <c r="L51" s="49"/>
      <c r="M51" s="49"/>
      <c r="N51" s="49"/>
      <c r="O51" s="49"/>
      <c r="P51" s="49"/>
      <c r="Q51" s="57"/>
      <c r="R51" s="57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49"/>
      <c r="BN51" s="49"/>
      <c r="BO51" s="49"/>
      <c r="BP51" s="49"/>
      <c r="BQ51" s="49"/>
      <c r="BR51" s="49"/>
      <c r="BS51" s="32"/>
      <c r="BT51" s="32"/>
      <c r="BU51" s="32"/>
      <c r="BV51" s="32"/>
      <c r="BW51" s="32"/>
    </row>
    <row r="52" spans="1:75" x14ac:dyDescent="0.25">
      <c r="K52" s="5"/>
      <c r="L52" s="49"/>
      <c r="M52" s="49"/>
      <c r="N52" s="49"/>
      <c r="O52" s="49"/>
      <c r="P52" s="49"/>
      <c r="Q52" s="57"/>
      <c r="R52" s="57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49"/>
      <c r="BN52" s="49"/>
      <c r="BO52" s="49"/>
      <c r="BP52" s="49"/>
      <c r="BQ52" s="49"/>
      <c r="BR52" s="49"/>
      <c r="BS52" s="32"/>
      <c r="BT52" s="32"/>
      <c r="BU52" s="32"/>
      <c r="BV52" s="32"/>
      <c r="BW52" s="32"/>
    </row>
    <row r="53" spans="1:75" x14ac:dyDescent="0.25">
      <c r="K53" s="5"/>
      <c r="L53" s="49"/>
      <c r="M53" s="49"/>
      <c r="N53" s="49"/>
      <c r="O53" s="49"/>
      <c r="P53" s="49"/>
      <c r="Q53" s="57"/>
      <c r="R53" s="57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49"/>
      <c r="BN53" s="49"/>
      <c r="BO53" s="49"/>
      <c r="BP53" s="49"/>
      <c r="BQ53" s="49"/>
      <c r="BR53" s="49"/>
      <c r="BS53" s="32"/>
      <c r="BT53" s="32"/>
      <c r="BU53" s="32"/>
      <c r="BV53" s="32"/>
      <c r="BW53" s="32"/>
    </row>
    <row r="54" spans="1:75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57"/>
      <c r="R54" s="57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49"/>
      <c r="BN54" s="49"/>
      <c r="BO54" s="49"/>
      <c r="BP54" s="49"/>
      <c r="BQ54" s="49"/>
      <c r="BR54" s="49"/>
      <c r="BS54" s="32"/>
      <c r="BT54" s="32"/>
      <c r="BU54" s="32"/>
      <c r="BV54" s="32"/>
      <c r="BW54" s="32"/>
    </row>
    <row r="55" spans="1:75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57"/>
      <c r="R55" s="57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49"/>
      <c r="BN55" s="49"/>
      <c r="BO55" s="49"/>
      <c r="BP55" s="49"/>
      <c r="BQ55" s="49"/>
      <c r="BR55" s="49"/>
      <c r="BS55" s="32"/>
      <c r="BT55" s="32"/>
      <c r="BU55" s="32"/>
      <c r="BV55" s="32"/>
      <c r="BW55" s="32"/>
    </row>
    <row r="56" spans="1:75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57"/>
      <c r="R56" s="57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49"/>
      <c r="BN56" s="49"/>
      <c r="BO56" s="49"/>
      <c r="BP56" s="49"/>
      <c r="BQ56" s="49"/>
      <c r="BR56" s="49"/>
      <c r="BS56" s="32"/>
      <c r="BT56" s="32"/>
      <c r="BU56" s="32"/>
      <c r="BV56" s="32"/>
      <c r="BW56" s="32"/>
    </row>
    <row r="57" spans="1:75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57"/>
      <c r="R57" s="57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49"/>
      <c r="BN57" s="49"/>
      <c r="BO57" s="49"/>
      <c r="BP57" s="49"/>
      <c r="BQ57" s="49"/>
      <c r="BR57" s="49"/>
      <c r="BS57" s="32"/>
      <c r="BT57" s="32"/>
      <c r="BU57" s="32"/>
      <c r="BV57" s="32"/>
      <c r="BW57" s="32"/>
    </row>
    <row r="58" spans="1:75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57"/>
      <c r="R58" s="57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49"/>
      <c r="BN58" s="49"/>
      <c r="BO58" s="49"/>
      <c r="BP58" s="49"/>
      <c r="BQ58" s="49"/>
      <c r="BR58" s="49"/>
      <c r="BS58" s="32"/>
      <c r="BT58" s="32"/>
      <c r="BU58" s="32"/>
      <c r="BV58" s="32"/>
      <c r="BW58" s="32"/>
    </row>
    <row r="59" spans="1:75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57"/>
      <c r="R59" s="57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49"/>
      <c r="BN59" s="49"/>
      <c r="BO59" s="49"/>
      <c r="BP59" s="49"/>
      <c r="BQ59" s="49"/>
      <c r="BR59" s="49"/>
      <c r="BS59" s="32"/>
      <c r="BT59" s="32"/>
      <c r="BU59" s="32"/>
      <c r="BV59" s="32"/>
      <c r="BW59" s="32"/>
    </row>
    <row r="60" spans="1:75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57"/>
      <c r="R60" s="57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49"/>
      <c r="BN60" s="49"/>
      <c r="BO60" s="49"/>
      <c r="BP60" s="49"/>
      <c r="BQ60" s="49"/>
      <c r="BR60" s="49"/>
      <c r="BS60" s="32"/>
      <c r="BT60" s="32"/>
      <c r="BU60" s="32"/>
      <c r="BV60" s="32"/>
      <c r="BW60" s="32"/>
    </row>
    <row r="61" spans="1:75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57"/>
      <c r="R61" s="57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49"/>
      <c r="BN61" s="49"/>
      <c r="BO61" s="49"/>
      <c r="BP61" s="49"/>
      <c r="BQ61" s="49"/>
      <c r="BR61" s="49"/>
      <c r="BS61" s="32"/>
      <c r="BT61" s="32"/>
      <c r="BU61" s="32"/>
      <c r="BV61" s="32"/>
      <c r="BW61" s="32"/>
    </row>
    <row r="62" spans="1:75" x14ac:dyDescent="0.2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49"/>
      <c r="BN62" s="49"/>
      <c r="BO62" s="49"/>
      <c r="BP62" s="49"/>
      <c r="BQ62" s="49"/>
      <c r="BR62" s="49"/>
      <c r="BS62" s="32"/>
      <c r="BT62" s="32"/>
      <c r="BU62" s="32"/>
      <c r="BV62" s="32"/>
      <c r="BW62" s="32"/>
    </row>
    <row r="63" spans="1:75" x14ac:dyDescent="0.2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49"/>
      <c r="BN63" s="49"/>
      <c r="BO63" s="49"/>
      <c r="BP63" s="49"/>
      <c r="BQ63" s="49"/>
      <c r="BR63" s="49"/>
      <c r="BS63" s="32"/>
      <c r="BT63" s="32"/>
      <c r="BU63" s="32"/>
      <c r="BV63" s="32"/>
      <c r="BW63" s="32"/>
    </row>
    <row r="64" spans="1:75" x14ac:dyDescent="0.25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49"/>
      <c r="BN64" s="49"/>
      <c r="BO64" s="49"/>
      <c r="BP64" s="49"/>
      <c r="BQ64" s="49"/>
      <c r="BR64" s="49"/>
      <c r="BS64" s="32"/>
      <c r="BT64" s="32"/>
      <c r="BU64" s="32"/>
      <c r="BV64" s="32"/>
      <c r="BW64" s="32"/>
    </row>
    <row r="65" spans="1:75" x14ac:dyDescent="0.25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49"/>
      <c r="BN65" s="49"/>
      <c r="BO65" s="49"/>
      <c r="BP65" s="49"/>
      <c r="BQ65" s="49"/>
      <c r="BR65" s="49"/>
      <c r="BS65" s="32"/>
      <c r="BT65" s="32"/>
      <c r="BU65" s="32"/>
      <c r="BV65" s="32"/>
      <c r="BW65" s="32"/>
    </row>
    <row r="66" spans="1:75" x14ac:dyDescent="0.25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49"/>
      <c r="BN66" s="49"/>
      <c r="BO66" s="49"/>
      <c r="BP66" s="49"/>
      <c r="BQ66" s="49"/>
      <c r="BR66" s="49"/>
      <c r="BS66" s="32"/>
      <c r="BT66" s="32"/>
      <c r="BU66" s="32"/>
      <c r="BV66" s="32"/>
      <c r="BW66" s="32"/>
    </row>
    <row r="67" spans="1:75" x14ac:dyDescent="0.25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49"/>
      <c r="BN67" s="49"/>
      <c r="BO67" s="49"/>
      <c r="BP67" s="49"/>
      <c r="BQ67" s="49"/>
      <c r="BR67" s="49"/>
      <c r="BS67" s="32"/>
      <c r="BT67" s="32"/>
      <c r="BU67" s="32"/>
      <c r="BV67" s="32"/>
      <c r="BW67" s="32"/>
    </row>
    <row r="68" spans="1:75" x14ac:dyDescent="0.25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49"/>
      <c r="BN68" s="49"/>
      <c r="BO68" s="49"/>
      <c r="BP68" s="49"/>
      <c r="BQ68" s="49"/>
      <c r="BR68" s="49"/>
      <c r="BS68" s="32"/>
      <c r="BT68" s="32"/>
      <c r="BU68" s="32"/>
      <c r="BV68" s="32"/>
      <c r="BW68" s="32"/>
    </row>
    <row r="69" spans="1:75" x14ac:dyDescent="0.2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49"/>
      <c r="BN69" s="49"/>
      <c r="BO69" s="49"/>
      <c r="BP69" s="49"/>
      <c r="BQ69" s="49"/>
      <c r="BR69" s="49"/>
      <c r="BS69" s="32"/>
      <c r="BT69" s="32"/>
      <c r="BU69" s="32"/>
      <c r="BV69" s="32"/>
      <c r="BW69" s="32"/>
    </row>
    <row r="70" spans="1:75" x14ac:dyDescent="0.25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49"/>
      <c r="BN70" s="49"/>
      <c r="BO70" s="49"/>
      <c r="BP70" s="49"/>
      <c r="BQ70" s="49"/>
      <c r="BR70" s="49"/>
      <c r="BS70" s="32"/>
      <c r="BT70" s="32"/>
      <c r="BU70" s="32"/>
      <c r="BV70" s="32"/>
      <c r="BW70" s="32"/>
    </row>
    <row r="71" spans="1:75" x14ac:dyDescent="0.25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49"/>
      <c r="BN71" s="49"/>
      <c r="BO71" s="49"/>
      <c r="BP71" s="49"/>
      <c r="BQ71" s="49"/>
      <c r="BR71" s="49"/>
      <c r="BS71" s="32"/>
      <c r="BT71" s="32"/>
      <c r="BU71" s="32"/>
      <c r="BV71" s="32"/>
      <c r="BW71" s="32"/>
    </row>
    <row r="72" spans="1:75" x14ac:dyDescent="0.25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49"/>
      <c r="BN72" s="49"/>
      <c r="BO72" s="49"/>
      <c r="BP72" s="49"/>
      <c r="BQ72" s="49"/>
      <c r="BR72" s="49"/>
      <c r="BS72" s="32"/>
      <c r="BT72" s="32"/>
      <c r="BU72" s="32"/>
      <c r="BV72" s="32"/>
      <c r="BW72" s="32"/>
    </row>
    <row r="73" spans="1:75" x14ac:dyDescent="0.25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49"/>
      <c r="BN73" s="49"/>
      <c r="BO73" s="49"/>
      <c r="BP73" s="49"/>
      <c r="BQ73" s="49"/>
      <c r="BR73" s="49"/>
      <c r="BS73" s="32"/>
      <c r="BT73" s="32"/>
      <c r="BU73" s="32"/>
      <c r="BV73" s="32"/>
      <c r="BW73" s="32"/>
    </row>
    <row r="74" spans="1:75" x14ac:dyDescent="0.25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49"/>
      <c r="BN74" s="49"/>
      <c r="BO74" s="49"/>
      <c r="BP74" s="49"/>
      <c r="BQ74" s="49"/>
      <c r="BR74" s="49"/>
      <c r="BS74" s="32"/>
      <c r="BT74" s="32"/>
      <c r="BU74" s="32"/>
      <c r="BV74" s="32"/>
      <c r="BW74" s="32"/>
    </row>
    <row r="75" spans="1:75" x14ac:dyDescent="0.25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49"/>
      <c r="BN75" s="49"/>
      <c r="BO75" s="49"/>
      <c r="BP75" s="49"/>
      <c r="BQ75" s="49"/>
      <c r="BR75" s="49"/>
      <c r="BS75" s="32"/>
      <c r="BT75" s="32"/>
      <c r="BU75" s="32"/>
      <c r="BV75" s="32"/>
      <c r="BW75" s="32"/>
    </row>
    <row r="76" spans="1:75" x14ac:dyDescent="0.25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49"/>
      <c r="BN76" s="49"/>
      <c r="BO76" s="49"/>
      <c r="BP76" s="49"/>
      <c r="BQ76" s="49"/>
      <c r="BR76" s="49"/>
      <c r="BS76" s="32"/>
      <c r="BT76" s="32"/>
      <c r="BU76" s="32"/>
      <c r="BV76" s="32"/>
      <c r="BW76" s="32"/>
    </row>
    <row r="77" spans="1:75" x14ac:dyDescent="0.25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49"/>
      <c r="BN77" s="49"/>
      <c r="BO77" s="49"/>
      <c r="BP77" s="49"/>
      <c r="BQ77" s="49"/>
      <c r="BR77" s="49"/>
      <c r="BS77" s="32"/>
      <c r="BT77" s="32"/>
      <c r="BU77" s="32"/>
      <c r="BV77" s="32"/>
      <c r="BW77" s="32"/>
    </row>
    <row r="78" spans="1:75" x14ac:dyDescent="0.25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49"/>
      <c r="AZ78" s="49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49"/>
      <c r="BN78" s="49"/>
      <c r="BO78" s="49"/>
      <c r="BP78" s="49"/>
      <c r="BQ78" s="49"/>
      <c r="BR78" s="49"/>
      <c r="BS78" s="32"/>
      <c r="BT78" s="32"/>
      <c r="BU78" s="32"/>
      <c r="BV78" s="32"/>
      <c r="BW78" s="32"/>
    </row>
    <row r="79" spans="1:75" x14ac:dyDescent="0.25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49"/>
      <c r="BN79" s="49"/>
      <c r="BO79" s="49"/>
      <c r="BP79" s="49"/>
      <c r="BQ79" s="49"/>
      <c r="BR79" s="49"/>
      <c r="BS79" s="32"/>
      <c r="BT79" s="32"/>
      <c r="BU79" s="32"/>
      <c r="BV79" s="32"/>
      <c r="BW79" s="32"/>
    </row>
    <row r="80" spans="1:75" x14ac:dyDescent="0.25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49"/>
      <c r="BN80" s="49"/>
      <c r="BO80" s="49"/>
      <c r="BP80" s="49"/>
      <c r="BQ80" s="49"/>
      <c r="BR80" s="49"/>
      <c r="BS80" s="32"/>
      <c r="BT80" s="32"/>
      <c r="BU80" s="32"/>
      <c r="BV80" s="32"/>
      <c r="BW80" s="32"/>
    </row>
    <row r="81" spans="1:75" x14ac:dyDescent="0.25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49"/>
      <c r="BN81" s="49"/>
      <c r="BO81" s="49"/>
      <c r="BP81" s="49"/>
      <c r="BQ81" s="49"/>
      <c r="BR81" s="49"/>
      <c r="BS81" s="32"/>
      <c r="BT81" s="32"/>
      <c r="BU81" s="32"/>
      <c r="BV81" s="32"/>
      <c r="BW81" s="32"/>
    </row>
    <row r="82" spans="1:75" x14ac:dyDescent="0.25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49"/>
      <c r="BN82" s="49"/>
      <c r="BO82" s="49"/>
      <c r="BP82" s="49"/>
      <c r="BQ82" s="49"/>
      <c r="BR82" s="49"/>
      <c r="BS82" s="32"/>
      <c r="BT82" s="32"/>
      <c r="BU82" s="32"/>
      <c r="BV82" s="32"/>
      <c r="BW82" s="32"/>
    </row>
    <row r="83" spans="1:75" x14ac:dyDescent="0.25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49"/>
      <c r="BN83" s="49"/>
      <c r="BO83" s="49"/>
      <c r="BP83" s="49"/>
      <c r="BQ83" s="49"/>
      <c r="BR83" s="49"/>
      <c r="BS83" s="32"/>
      <c r="BT83" s="32"/>
      <c r="BU83" s="32"/>
      <c r="BV83" s="32"/>
      <c r="BW83" s="32"/>
    </row>
    <row r="84" spans="1:75" x14ac:dyDescent="0.25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49"/>
      <c r="BN84" s="49"/>
      <c r="BO84" s="49"/>
      <c r="BP84" s="49"/>
      <c r="BQ84" s="49"/>
      <c r="BR84" s="49"/>
      <c r="BS84" s="32"/>
      <c r="BT84" s="32"/>
      <c r="BU84" s="32"/>
      <c r="BV84" s="32"/>
      <c r="BW84" s="32"/>
    </row>
    <row r="85" spans="1:75" x14ac:dyDescent="0.25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49"/>
      <c r="BN85" s="49"/>
      <c r="BO85" s="49"/>
      <c r="BP85" s="49"/>
      <c r="BQ85" s="49"/>
      <c r="BR85" s="49"/>
      <c r="BS85" s="32"/>
      <c r="BT85" s="32"/>
      <c r="BU85" s="32"/>
      <c r="BV85" s="32"/>
      <c r="BW85" s="32"/>
    </row>
    <row r="86" spans="1:75" x14ac:dyDescent="0.25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49"/>
      <c r="BN86" s="49"/>
      <c r="BO86" s="49"/>
      <c r="BP86" s="49"/>
      <c r="BQ86" s="49"/>
      <c r="BR86" s="49"/>
      <c r="BS86" s="32"/>
      <c r="BT86" s="32"/>
      <c r="BU86" s="32"/>
      <c r="BV86" s="32"/>
      <c r="BW86" s="32"/>
    </row>
    <row r="87" spans="1:75" x14ac:dyDescent="0.25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49"/>
      <c r="BN87" s="49"/>
      <c r="BO87" s="49"/>
      <c r="BP87" s="49"/>
      <c r="BQ87" s="49"/>
      <c r="BR87" s="49"/>
      <c r="BS87" s="32"/>
      <c r="BT87" s="32"/>
      <c r="BU87" s="32"/>
      <c r="BV87" s="32"/>
      <c r="BW87" s="32"/>
    </row>
    <row r="88" spans="1:75" x14ac:dyDescent="0.25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49"/>
      <c r="BN88" s="49"/>
      <c r="BO88" s="49"/>
      <c r="BP88" s="49"/>
      <c r="BQ88" s="49"/>
      <c r="BR88" s="49"/>
      <c r="BS88" s="32"/>
      <c r="BT88" s="32"/>
      <c r="BU88" s="32"/>
      <c r="BV88" s="32"/>
      <c r="BW88" s="32"/>
    </row>
    <row r="89" spans="1:75" x14ac:dyDescent="0.25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49"/>
      <c r="BN89" s="49"/>
      <c r="BO89" s="49"/>
      <c r="BP89" s="49"/>
      <c r="BQ89" s="49"/>
      <c r="BR89" s="49"/>
      <c r="BS89" s="32"/>
      <c r="BT89" s="32"/>
      <c r="BU89" s="32"/>
      <c r="BV89" s="32"/>
      <c r="BW89" s="32"/>
    </row>
    <row r="90" spans="1:75" x14ac:dyDescent="0.25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49"/>
      <c r="BN90" s="49"/>
      <c r="BO90" s="49"/>
      <c r="BP90" s="49"/>
      <c r="BQ90" s="49"/>
      <c r="BR90" s="49"/>
      <c r="BS90" s="32"/>
      <c r="BT90" s="32"/>
      <c r="BU90" s="32"/>
      <c r="BV90" s="32"/>
      <c r="BW90" s="32"/>
    </row>
    <row r="91" spans="1:75" x14ac:dyDescent="0.25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49"/>
      <c r="BN91" s="49"/>
      <c r="BO91" s="49"/>
      <c r="BP91" s="49"/>
      <c r="BQ91" s="49"/>
      <c r="BR91" s="49"/>
      <c r="BS91" s="32"/>
      <c r="BT91" s="32"/>
      <c r="BU91" s="32"/>
      <c r="BV91" s="32"/>
      <c r="BW91" s="32"/>
    </row>
    <row r="92" spans="1:75" x14ac:dyDescent="0.25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49"/>
      <c r="BN92" s="49"/>
      <c r="BO92" s="49"/>
      <c r="BP92" s="49"/>
      <c r="BQ92" s="49"/>
      <c r="BR92" s="49"/>
      <c r="BS92" s="32"/>
      <c r="BT92" s="32"/>
      <c r="BU92" s="32"/>
      <c r="BV92" s="32"/>
      <c r="BW92" s="32"/>
    </row>
    <row r="93" spans="1:75" x14ac:dyDescent="0.25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49"/>
      <c r="AZ93" s="49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49"/>
      <c r="BN93" s="49"/>
      <c r="BO93" s="49"/>
      <c r="BP93" s="49"/>
      <c r="BQ93" s="49"/>
      <c r="BR93" s="49"/>
      <c r="BS93" s="32"/>
      <c r="BT93" s="32"/>
      <c r="BU93" s="32"/>
      <c r="BV93" s="32"/>
      <c r="BW93" s="32"/>
    </row>
    <row r="94" spans="1:75" x14ac:dyDescent="0.25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49"/>
      <c r="AZ94" s="49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49"/>
      <c r="BN94" s="49"/>
      <c r="BO94" s="49"/>
      <c r="BP94" s="49"/>
      <c r="BQ94" s="49"/>
      <c r="BR94" s="49"/>
      <c r="BS94" s="32"/>
      <c r="BT94" s="32"/>
      <c r="BU94" s="32"/>
      <c r="BV94" s="32"/>
      <c r="BW94" s="32"/>
    </row>
    <row r="95" spans="1:75" x14ac:dyDescent="0.25">
      <c r="A95" s="49"/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49"/>
      <c r="BN95" s="49"/>
      <c r="BO95" s="49"/>
      <c r="BP95" s="49"/>
      <c r="BQ95" s="49"/>
      <c r="BR95" s="49"/>
      <c r="BS95" s="32"/>
      <c r="BT95" s="32"/>
      <c r="BU95" s="32"/>
      <c r="BV95" s="32"/>
      <c r="BW95" s="32"/>
    </row>
    <row r="96" spans="1:75" x14ac:dyDescent="0.25">
      <c r="A96" s="49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49"/>
      <c r="BN96" s="49"/>
      <c r="BO96" s="49"/>
      <c r="BP96" s="49"/>
      <c r="BQ96" s="49"/>
      <c r="BR96" s="49"/>
      <c r="BS96" s="32"/>
      <c r="BT96" s="32"/>
      <c r="BU96" s="32"/>
      <c r="BV96" s="32"/>
      <c r="BW96" s="32"/>
    </row>
    <row r="97" spans="1:75" x14ac:dyDescent="0.25">
      <c r="A97" s="49"/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49"/>
      <c r="BN97" s="49"/>
      <c r="BO97" s="49"/>
      <c r="BP97" s="49"/>
      <c r="BQ97" s="49"/>
      <c r="BR97" s="49"/>
      <c r="BS97" s="32"/>
      <c r="BT97" s="32"/>
      <c r="BU97" s="32"/>
      <c r="BV97" s="32"/>
      <c r="BW97" s="32"/>
    </row>
    <row r="98" spans="1:75" x14ac:dyDescent="0.25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49"/>
      <c r="AZ98" s="49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49"/>
      <c r="BN98" s="49"/>
      <c r="BO98" s="49"/>
      <c r="BP98" s="49"/>
      <c r="BQ98" s="49"/>
      <c r="BR98" s="49"/>
      <c r="BS98" s="32"/>
      <c r="BT98" s="32"/>
      <c r="BU98" s="32"/>
      <c r="BV98" s="32"/>
      <c r="BW98" s="32"/>
    </row>
    <row r="99" spans="1:75" x14ac:dyDescent="0.25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49"/>
      <c r="AZ99" s="49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49"/>
      <c r="BN99" s="49"/>
      <c r="BO99" s="49"/>
      <c r="BP99" s="49"/>
      <c r="BQ99" s="49"/>
      <c r="BR99" s="49"/>
      <c r="BS99" s="32"/>
      <c r="BT99" s="32"/>
      <c r="BU99" s="32"/>
      <c r="BV99" s="32"/>
      <c r="BW99" s="32"/>
    </row>
    <row r="100" spans="1:75" x14ac:dyDescent="0.25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49"/>
      <c r="BN100" s="49"/>
      <c r="BO100" s="49"/>
      <c r="BP100" s="49"/>
      <c r="BQ100" s="49"/>
      <c r="BR100" s="49"/>
      <c r="BS100" s="32"/>
      <c r="BT100" s="32"/>
      <c r="BU100" s="32"/>
      <c r="BV100" s="32"/>
      <c r="BW100" s="32"/>
    </row>
    <row r="101" spans="1:75" x14ac:dyDescent="0.25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49"/>
      <c r="BN101" s="49"/>
      <c r="BO101" s="49"/>
      <c r="BP101" s="49"/>
      <c r="BQ101" s="49"/>
      <c r="BR101" s="49"/>
      <c r="BS101" s="32"/>
      <c r="BT101" s="32"/>
      <c r="BU101" s="32"/>
      <c r="BV101" s="32"/>
      <c r="BW101" s="32"/>
    </row>
    <row r="102" spans="1:75" x14ac:dyDescent="0.25">
      <c r="A102" s="49"/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49"/>
      <c r="BN102" s="49"/>
      <c r="BO102" s="49"/>
      <c r="BP102" s="49"/>
      <c r="BQ102" s="49"/>
      <c r="BR102" s="49"/>
      <c r="BS102" s="32"/>
      <c r="BT102" s="32"/>
      <c r="BU102" s="32"/>
      <c r="BV102" s="32"/>
      <c r="BW102" s="32"/>
    </row>
    <row r="103" spans="1:75" x14ac:dyDescent="0.25">
      <c r="A103" s="49"/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49"/>
      <c r="BN103" s="49"/>
      <c r="BO103" s="49"/>
      <c r="BP103" s="49"/>
      <c r="BQ103" s="49"/>
      <c r="BR103" s="49"/>
      <c r="BS103" s="32"/>
      <c r="BT103" s="32"/>
      <c r="BU103" s="32"/>
      <c r="BV103" s="32"/>
      <c r="BW103" s="32"/>
    </row>
    <row r="104" spans="1:75" x14ac:dyDescent="0.25">
      <c r="A104" s="49"/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49"/>
      <c r="AZ104" s="49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49"/>
      <c r="BN104" s="49"/>
      <c r="BO104" s="49"/>
      <c r="BP104" s="49"/>
      <c r="BQ104" s="49"/>
      <c r="BR104" s="49"/>
      <c r="BS104" s="32"/>
      <c r="BT104" s="32"/>
      <c r="BU104" s="32"/>
      <c r="BV104" s="32"/>
      <c r="BW104" s="32"/>
    </row>
    <row r="105" spans="1:75" x14ac:dyDescent="0.25">
      <c r="A105" s="49"/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49"/>
      <c r="AZ105" s="49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49"/>
      <c r="BN105" s="49"/>
      <c r="BO105" s="49"/>
      <c r="BP105" s="49"/>
      <c r="BQ105" s="49"/>
      <c r="BR105" s="49"/>
      <c r="BS105" s="32"/>
      <c r="BT105" s="32"/>
      <c r="BU105" s="32"/>
      <c r="BV105" s="32"/>
      <c r="BW105" s="32"/>
    </row>
    <row r="106" spans="1:75" x14ac:dyDescent="0.25">
      <c r="A106" s="49"/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49"/>
      <c r="AZ106" s="49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49"/>
      <c r="BN106" s="49"/>
      <c r="BO106" s="49"/>
      <c r="BP106" s="49"/>
      <c r="BQ106" s="49"/>
      <c r="BR106" s="49"/>
      <c r="BS106" s="32"/>
      <c r="BT106" s="32"/>
      <c r="BU106" s="32"/>
      <c r="BV106" s="32"/>
      <c r="BW106" s="32"/>
    </row>
    <row r="107" spans="1:75" x14ac:dyDescent="0.25">
      <c r="A107" s="49"/>
      <c r="B107" s="49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49"/>
      <c r="AZ107" s="49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49"/>
      <c r="BN107" s="49"/>
      <c r="BO107" s="49"/>
      <c r="BP107" s="49"/>
      <c r="BQ107" s="49"/>
      <c r="BR107" s="49"/>
      <c r="BS107" s="32"/>
      <c r="BT107" s="32"/>
      <c r="BU107" s="32"/>
      <c r="BV107" s="32"/>
      <c r="BW107" s="32"/>
    </row>
    <row r="108" spans="1:75" x14ac:dyDescent="0.25">
      <c r="A108" s="49"/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  <c r="AK108" s="49"/>
      <c r="AL108" s="49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49"/>
      <c r="AZ108" s="49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49"/>
      <c r="BN108" s="49"/>
      <c r="BO108" s="49"/>
      <c r="BP108" s="49"/>
      <c r="BQ108" s="49"/>
      <c r="BR108" s="49"/>
      <c r="BS108" s="32"/>
      <c r="BT108" s="32"/>
      <c r="BU108" s="32"/>
      <c r="BV108" s="32"/>
      <c r="BW108" s="32"/>
    </row>
    <row r="109" spans="1:75" x14ac:dyDescent="0.25">
      <c r="A109" s="49"/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  <c r="AK109" s="49"/>
      <c r="AL109" s="49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49"/>
      <c r="BN109" s="49"/>
      <c r="BO109" s="49"/>
      <c r="BP109" s="49"/>
      <c r="BQ109" s="49"/>
      <c r="BR109" s="49"/>
      <c r="BS109" s="32"/>
      <c r="BT109" s="32"/>
      <c r="BU109" s="32"/>
      <c r="BV109" s="32"/>
      <c r="BW109" s="32"/>
    </row>
    <row r="110" spans="1:75" x14ac:dyDescent="0.25">
      <c r="A110" s="49"/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  <c r="AL110" s="49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49"/>
      <c r="BN110" s="49"/>
      <c r="BO110" s="49"/>
      <c r="BP110" s="49"/>
      <c r="BQ110" s="49"/>
      <c r="BR110" s="49"/>
      <c r="BS110" s="32"/>
      <c r="BT110" s="32"/>
      <c r="BU110" s="32"/>
      <c r="BV110" s="32"/>
      <c r="BW110" s="32"/>
    </row>
    <row r="111" spans="1:75" x14ac:dyDescent="0.25">
      <c r="A111" s="49"/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  <c r="AL111" s="49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49"/>
      <c r="BN111" s="49"/>
      <c r="BO111" s="49"/>
      <c r="BP111" s="49"/>
      <c r="BQ111" s="49"/>
      <c r="BR111" s="49"/>
      <c r="BS111" s="32"/>
      <c r="BT111" s="32"/>
      <c r="BU111" s="32"/>
      <c r="BV111" s="32"/>
      <c r="BW111" s="32"/>
    </row>
    <row r="112" spans="1:75" x14ac:dyDescent="0.25">
      <c r="A112" s="49"/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  <c r="AK112" s="49"/>
      <c r="AL112" s="49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49"/>
      <c r="BN112" s="49"/>
      <c r="BO112" s="49"/>
      <c r="BP112" s="49"/>
      <c r="BQ112" s="49"/>
      <c r="BR112" s="49"/>
      <c r="BS112" s="32"/>
      <c r="BT112" s="32"/>
      <c r="BU112" s="32"/>
      <c r="BV112" s="32"/>
      <c r="BW112" s="32"/>
    </row>
    <row r="113" spans="1:75" x14ac:dyDescent="0.25">
      <c r="A113" s="49"/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  <c r="AK113" s="49"/>
      <c r="AL113" s="49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49"/>
      <c r="BN113" s="49"/>
      <c r="BO113" s="49"/>
      <c r="BP113" s="49"/>
      <c r="BQ113" s="49"/>
      <c r="BR113" s="49"/>
      <c r="BS113" s="32"/>
      <c r="BT113" s="32"/>
      <c r="BU113" s="32"/>
      <c r="BV113" s="32"/>
      <c r="BW113" s="32"/>
    </row>
    <row r="114" spans="1:75" x14ac:dyDescent="0.25">
      <c r="A114" s="49"/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  <c r="AK114" s="49"/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49"/>
      <c r="BN114" s="49"/>
      <c r="BO114" s="49"/>
      <c r="BP114" s="49"/>
      <c r="BQ114" s="49"/>
      <c r="BR114" s="49"/>
      <c r="BS114" s="32"/>
      <c r="BT114" s="32"/>
      <c r="BU114" s="32"/>
      <c r="BV114" s="32"/>
      <c r="BW114" s="32"/>
    </row>
    <row r="115" spans="1:75" x14ac:dyDescent="0.25">
      <c r="A115" s="49"/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  <c r="AK115" s="49"/>
      <c r="AL115" s="49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49"/>
      <c r="BN115" s="49"/>
      <c r="BO115" s="49"/>
      <c r="BP115" s="49"/>
      <c r="BQ115" s="49"/>
      <c r="BR115" s="49"/>
      <c r="BS115" s="32"/>
      <c r="BT115" s="32"/>
      <c r="BU115" s="32"/>
      <c r="BV115" s="32"/>
      <c r="BW115" s="32"/>
    </row>
    <row r="116" spans="1:75" x14ac:dyDescent="0.25">
      <c r="A116" s="49"/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49"/>
      <c r="BN116" s="49"/>
      <c r="BO116" s="49"/>
      <c r="BP116" s="49"/>
      <c r="BQ116" s="49"/>
      <c r="BR116" s="49"/>
      <c r="BS116" s="32"/>
      <c r="BT116" s="32"/>
      <c r="BU116" s="32"/>
      <c r="BV116" s="32"/>
      <c r="BW116" s="32"/>
    </row>
    <row r="117" spans="1:75" x14ac:dyDescent="0.25">
      <c r="A117" s="49"/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49"/>
      <c r="BN117" s="49"/>
      <c r="BO117" s="49"/>
      <c r="BP117" s="49"/>
      <c r="BQ117" s="49"/>
      <c r="BR117" s="49"/>
      <c r="BS117" s="32"/>
      <c r="BT117" s="32"/>
      <c r="BU117" s="32"/>
      <c r="BV117" s="32"/>
      <c r="BW117" s="32"/>
    </row>
    <row r="118" spans="1:75" x14ac:dyDescent="0.25">
      <c r="A118" s="49"/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49"/>
      <c r="BN118" s="49"/>
      <c r="BO118" s="49"/>
      <c r="BP118" s="49"/>
      <c r="BQ118" s="49"/>
      <c r="BR118" s="49"/>
      <c r="BS118" s="32"/>
      <c r="BT118" s="32"/>
      <c r="BU118" s="32"/>
      <c r="BV118" s="32"/>
      <c r="BW118" s="32"/>
    </row>
    <row r="119" spans="1:75" x14ac:dyDescent="0.25">
      <c r="A119" s="49"/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49"/>
      <c r="BN119" s="49"/>
      <c r="BO119" s="49"/>
      <c r="BP119" s="49"/>
      <c r="BQ119" s="49"/>
      <c r="BR119" s="49"/>
      <c r="BS119" s="32"/>
      <c r="BT119" s="32"/>
      <c r="BU119" s="32"/>
      <c r="BV119" s="32"/>
      <c r="BW119" s="32"/>
    </row>
    <row r="120" spans="1:75" x14ac:dyDescent="0.25">
      <c r="A120" s="49"/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49"/>
      <c r="BN120" s="49"/>
      <c r="BO120" s="49"/>
      <c r="BP120" s="49"/>
      <c r="BQ120" s="49"/>
      <c r="BR120" s="49"/>
      <c r="BS120" s="32"/>
      <c r="BT120" s="32"/>
      <c r="BU120" s="32"/>
      <c r="BV120" s="32"/>
      <c r="BW120" s="32"/>
    </row>
    <row r="121" spans="1:75" x14ac:dyDescent="0.25">
      <c r="A121" s="49"/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  <c r="AI121" s="49"/>
      <c r="AJ121" s="49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49"/>
      <c r="BN121" s="49"/>
      <c r="BO121" s="49"/>
      <c r="BP121" s="49"/>
      <c r="BQ121" s="49"/>
      <c r="BR121" s="49"/>
      <c r="BS121" s="32"/>
      <c r="BT121" s="32"/>
      <c r="BU121" s="32"/>
      <c r="BV121" s="32"/>
      <c r="BW121" s="32"/>
    </row>
    <row r="122" spans="1:75" x14ac:dyDescent="0.25">
      <c r="A122" s="49"/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  <c r="AI122" s="49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49"/>
      <c r="BN122" s="49"/>
      <c r="BO122" s="49"/>
      <c r="BP122" s="49"/>
      <c r="BQ122" s="49"/>
      <c r="BR122" s="49"/>
      <c r="BS122" s="32"/>
      <c r="BT122" s="32"/>
      <c r="BU122" s="32"/>
      <c r="BV122" s="32"/>
      <c r="BW122" s="32"/>
    </row>
    <row r="123" spans="1:75" x14ac:dyDescent="0.25">
      <c r="A123" s="49"/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49"/>
      <c r="BN123" s="49"/>
      <c r="BO123" s="49"/>
      <c r="BP123" s="49"/>
      <c r="BQ123" s="49"/>
      <c r="BR123" s="49"/>
      <c r="BS123" s="32"/>
      <c r="BT123" s="32"/>
      <c r="BU123" s="32"/>
      <c r="BV123" s="32"/>
      <c r="BW123" s="32"/>
    </row>
    <row r="124" spans="1:75" x14ac:dyDescent="0.25">
      <c r="A124" s="49"/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49"/>
      <c r="BN124" s="49"/>
      <c r="BO124" s="49"/>
      <c r="BP124" s="49"/>
      <c r="BQ124" s="49"/>
      <c r="BR124" s="49"/>
      <c r="BS124" s="32"/>
      <c r="BT124" s="32"/>
      <c r="BU124" s="32"/>
      <c r="BV124" s="32"/>
      <c r="BW124" s="32"/>
    </row>
    <row r="125" spans="1:75" x14ac:dyDescent="0.25">
      <c r="A125" s="49"/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49"/>
      <c r="AZ125" s="49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49"/>
      <c r="BN125" s="49"/>
      <c r="BO125" s="49"/>
      <c r="BP125" s="49"/>
      <c r="BQ125" s="49"/>
      <c r="BR125" s="49"/>
      <c r="BS125" s="32"/>
      <c r="BT125" s="32"/>
      <c r="BU125" s="32"/>
      <c r="BV125" s="32"/>
      <c r="BW125" s="32"/>
    </row>
    <row r="126" spans="1:75" x14ac:dyDescent="0.25">
      <c r="A126" s="49"/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49"/>
      <c r="BN126" s="49"/>
      <c r="BO126" s="49"/>
      <c r="BP126" s="49"/>
      <c r="BQ126" s="49"/>
      <c r="BR126" s="49"/>
      <c r="BS126" s="32"/>
      <c r="BT126" s="32"/>
      <c r="BU126" s="32"/>
      <c r="BV126" s="32"/>
      <c r="BW126" s="32"/>
    </row>
    <row r="127" spans="1:75" x14ac:dyDescent="0.25">
      <c r="A127" s="49"/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/>
      <c r="AY127" s="49"/>
      <c r="AZ127" s="49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49"/>
      <c r="BN127" s="49"/>
      <c r="BO127" s="49"/>
      <c r="BP127" s="49"/>
      <c r="BQ127" s="49"/>
      <c r="BR127" s="49"/>
      <c r="BS127" s="32"/>
      <c r="BT127" s="32"/>
      <c r="BU127" s="32"/>
      <c r="BV127" s="32"/>
      <c r="BW127" s="32"/>
    </row>
    <row r="128" spans="1:75" x14ac:dyDescent="0.25">
      <c r="A128" s="49"/>
      <c r="B128" s="49"/>
      <c r="C128" s="49"/>
      <c r="D128" s="49"/>
      <c r="E128" s="49"/>
      <c r="F128" s="49"/>
      <c r="G128" s="49"/>
      <c r="H128" s="49"/>
      <c r="I128" s="49"/>
      <c r="J128" s="49"/>
      <c r="K128" s="32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49"/>
      <c r="BN128" s="49"/>
      <c r="BO128" s="49"/>
      <c r="BP128" s="49"/>
      <c r="BQ128" s="49"/>
      <c r="BR128" s="49"/>
      <c r="BS128" s="32"/>
      <c r="BT128" s="32"/>
      <c r="BU128" s="32"/>
      <c r="BV128" s="32"/>
      <c r="BW128" s="32"/>
    </row>
    <row r="129" spans="1:75" x14ac:dyDescent="0.25">
      <c r="A129" s="49"/>
      <c r="B129" s="49"/>
      <c r="C129" s="49"/>
      <c r="D129" s="49"/>
      <c r="E129" s="49"/>
      <c r="F129" s="49"/>
      <c r="G129" s="49"/>
      <c r="H129" s="49"/>
      <c r="I129" s="49"/>
      <c r="J129" s="49"/>
      <c r="K129" s="32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49"/>
      <c r="BN129" s="49"/>
      <c r="BO129" s="49"/>
      <c r="BP129" s="49"/>
      <c r="BQ129" s="49"/>
      <c r="BR129" s="49"/>
      <c r="BS129" s="32"/>
      <c r="BT129" s="32"/>
      <c r="BU129" s="32"/>
      <c r="BV129" s="32"/>
      <c r="BW129" s="32"/>
    </row>
    <row r="130" spans="1:75" x14ac:dyDescent="0.25">
      <c r="A130" s="49"/>
      <c r="B130" s="49"/>
      <c r="C130" s="49"/>
      <c r="D130" s="49"/>
      <c r="E130" s="49"/>
      <c r="F130" s="49"/>
      <c r="G130" s="49"/>
      <c r="H130" s="49"/>
      <c r="I130" s="49"/>
      <c r="J130" s="49"/>
      <c r="K130" s="32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/>
      <c r="AY130" s="49"/>
      <c r="AZ130" s="49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49"/>
      <c r="BN130" s="49"/>
      <c r="BO130" s="49"/>
      <c r="BP130" s="49"/>
      <c r="BQ130" s="49"/>
      <c r="BR130" s="49"/>
      <c r="BS130" s="32"/>
      <c r="BT130" s="32"/>
      <c r="BU130" s="32"/>
      <c r="BV130" s="32"/>
      <c r="BW130" s="32"/>
    </row>
    <row r="131" spans="1:75" x14ac:dyDescent="0.25">
      <c r="A131" s="49"/>
      <c r="B131" s="49"/>
      <c r="C131" s="49"/>
      <c r="D131" s="49"/>
      <c r="E131" s="49"/>
      <c r="F131" s="49"/>
      <c r="G131" s="49"/>
      <c r="H131" s="49"/>
      <c r="I131" s="49"/>
      <c r="J131" s="49"/>
      <c r="K131" s="32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  <c r="AS131" s="49"/>
      <c r="AT131" s="49"/>
      <c r="AU131" s="49"/>
      <c r="AV131" s="49"/>
      <c r="AW131" s="49"/>
      <c r="AX131" s="49"/>
      <c r="AY131" s="49"/>
      <c r="AZ131" s="49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49"/>
      <c r="BN131" s="49"/>
      <c r="BO131" s="49"/>
      <c r="BP131" s="49"/>
      <c r="BQ131" s="49"/>
      <c r="BR131" s="49"/>
      <c r="BS131" s="32"/>
      <c r="BT131" s="32"/>
      <c r="BU131" s="32"/>
      <c r="BV131" s="32"/>
      <c r="BW131" s="32"/>
    </row>
    <row r="132" spans="1:75" x14ac:dyDescent="0.25">
      <c r="A132" s="49"/>
      <c r="B132" s="49"/>
      <c r="C132" s="49"/>
      <c r="D132" s="49"/>
      <c r="E132" s="49"/>
      <c r="F132" s="49"/>
      <c r="G132" s="49"/>
      <c r="H132" s="49"/>
      <c r="I132" s="49"/>
      <c r="J132" s="49"/>
      <c r="K132" s="32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49"/>
      <c r="AZ132" s="49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49"/>
      <c r="BN132" s="49"/>
      <c r="BO132" s="49"/>
      <c r="BP132" s="49"/>
      <c r="BQ132" s="49"/>
      <c r="BR132" s="49"/>
      <c r="BS132" s="32"/>
      <c r="BT132" s="32"/>
      <c r="BU132" s="32"/>
      <c r="BV132" s="32"/>
      <c r="BW132" s="32"/>
    </row>
    <row r="133" spans="1:75" x14ac:dyDescent="0.25">
      <c r="A133" s="49"/>
      <c r="B133" s="49"/>
      <c r="C133" s="49"/>
      <c r="D133" s="49"/>
      <c r="E133" s="49"/>
      <c r="F133" s="49"/>
      <c r="G133" s="49"/>
      <c r="H133" s="49"/>
      <c r="I133" s="49"/>
      <c r="J133" s="49"/>
      <c r="K133" s="32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/>
      <c r="AY133" s="49"/>
      <c r="AZ133" s="49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49"/>
      <c r="BN133" s="49"/>
      <c r="BO133" s="49"/>
      <c r="BP133" s="49"/>
      <c r="BQ133" s="49"/>
      <c r="BR133" s="49"/>
      <c r="BS133" s="32"/>
      <c r="BT133" s="32"/>
      <c r="BU133" s="32"/>
      <c r="BV133" s="32"/>
      <c r="BW133" s="32"/>
    </row>
    <row r="134" spans="1:75" x14ac:dyDescent="0.25">
      <c r="A134" s="49"/>
      <c r="B134" s="49"/>
      <c r="C134" s="49"/>
      <c r="D134" s="49"/>
      <c r="E134" s="49"/>
      <c r="F134" s="49"/>
      <c r="G134" s="49"/>
      <c r="H134" s="49"/>
      <c r="I134" s="49"/>
      <c r="J134" s="49"/>
      <c r="K134" s="32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/>
      <c r="AY134" s="49"/>
      <c r="AZ134" s="49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49"/>
      <c r="BN134" s="49"/>
      <c r="BO134" s="49"/>
      <c r="BP134" s="49"/>
      <c r="BQ134" s="49"/>
      <c r="BR134" s="49"/>
      <c r="BS134" s="32"/>
      <c r="BT134" s="32"/>
      <c r="BU134" s="32"/>
      <c r="BV134" s="32"/>
      <c r="BW134" s="32"/>
    </row>
    <row r="135" spans="1:75" x14ac:dyDescent="0.25">
      <c r="A135" s="49"/>
      <c r="B135" s="49"/>
      <c r="C135" s="49"/>
      <c r="D135" s="49"/>
      <c r="E135" s="49"/>
      <c r="F135" s="49"/>
      <c r="G135" s="49"/>
      <c r="H135" s="49"/>
      <c r="I135" s="49"/>
      <c r="J135" s="49"/>
      <c r="K135" s="32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AY135" s="49"/>
      <c r="AZ135" s="49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49"/>
      <c r="BN135" s="49"/>
      <c r="BO135" s="49"/>
      <c r="BP135" s="49"/>
      <c r="BQ135" s="49"/>
      <c r="BR135" s="49"/>
      <c r="BS135" s="32"/>
      <c r="BT135" s="32"/>
      <c r="BU135" s="32"/>
      <c r="BV135" s="32"/>
      <c r="BW135" s="32"/>
    </row>
    <row r="136" spans="1:75" x14ac:dyDescent="0.25">
      <c r="A136" s="49"/>
      <c r="B136" s="49"/>
      <c r="C136" s="49"/>
      <c r="D136" s="49"/>
      <c r="E136" s="49"/>
      <c r="F136" s="49"/>
      <c r="G136" s="49"/>
      <c r="H136" s="49"/>
      <c r="I136" s="49"/>
      <c r="J136" s="49"/>
      <c r="K136" s="32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49"/>
      <c r="AZ136" s="49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49"/>
      <c r="BN136" s="49"/>
      <c r="BO136" s="49"/>
      <c r="BP136" s="49"/>
      <c r="BQ136" s="49"/>
      <c r="BR136" s="49"/>
      <c r="BS136" s="32"/>
      <c r="BT136" s="32"/>
      <c r="BU136" s="32"/>
      <c r="BV136" s="32"/>
      <c r="BW136" s="32"/>
    </row>
    <row r="137" spans="1:75" x14ac:dyDescent="0.25">
      <c r="A137" s="49"/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49"/>
      <c r="BN137" s="49"/>
      <c r="BO137" s="49"/>
      <c r="BP137" s="49"/>
      <c r="BQ137" s="49"/>
      <c r="BR137" s="49"/>
      <c r="BS137" s="32"/>
      <c r="BT137" s="32"/>
      <c r="BU137" s="32"/>
      <c r="BV137" s="32"/>
      <c r="BW137" s="32"/>
    </row>
    <row r="138" spans="1:75" x14ac:dyDescent="0.25">
      <c r="A138" s="49"/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49"/>
      <c r="AG138" s="49"/>
      <c r="AH138" s="49"/>
      <c r="AI138" s="49"/>
      <c r="AJ138" s="49"/>
      <c r="AK138" s="49"/>
      <c r="AL138" s="49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/>
      <c r="AY138" s="49"/>
      <c r="AZ138" s="49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49"/>
      <c r="BN138" s="49"/>
      <c r="BO138" s="49"/>
      <c r="BP138" s="49"/>
      <c r="BQ138" s="49"/>
      <c r="BR138" s="49"/>
      <c r="BS138" s="32"/>
      <c r="BT138" s="32"/>
      <c r="BU138" s="32"/>
      <c r="BV138" s="32"/>
      <c r="BW138" s="32"/>
    </row>
    <row r="139" spans="1:75" x14ac:dyDescent="0.25">
      <c r="A139" s="49"/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  <c r="AL139" s="49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49"/>
      <c r="AZ139" s="49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49"/>
      <c r="BN139" s="49"/>
      <c r="BO139" s="49"/>
      <c r="BP139" s="49"/>
      <c r="BQ139" s="49"/>
      <c r="BR139" s="49"/>
      <c r="BS139" s="32"/>
      <c r="BT139" s="32"/>
      <c r="BU139" s="32"/>
      <c r="BV139" s="32"/>
      <c r="BW139" s="32"/>
    </row>
    <row r="140" spans="1:75" x14ac:dyDescent="0.25">
      <c r="A140" s="49"/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H140" s="49"/>
      <c r="AI140" s="49"/>
      <c r="AJ140" s="49"/>
      <c r="AK140" s="49"/>
      <c r="AL140" s="49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  <c r="AX140" s="49"/>
      <c r="AY140" s="49"/>
      <c r="AZ140" s="49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49"/>
      <c r="BN140" s="49"/>
      <c r="BO140" s="49"/>
      <c r="BP140" s="49"/>
      <c r="BQ140" s="49"/>
      <c r="BR140" s="49"/>
      <c r="BS140" s="32"/>
      <c r="BT140" s="32"/>
      <c r="BU140" s="32"/>
      <c r="BV140" s="32"/>
      <c r="BW140" s="32"/>
    </row>
    <row r="141" spans="1:75" x14ac:dyDescent="0.25">
      <c r="A141" s="49"/>
      <c r="B141" s="49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  <c r="AK141" s="49"/>
      <c r="AL141" s="49"/>
      <c r="AM141" s="49"/>
      <c r="AN141" s="49"/>
      <c r="AO141" s="49"/>
      <c r="AP141" s="49"/>
      <c r="AQ141" s="49"/>
      <c r="AR141" s="49"/>
      <c r="AS141" s="49"/>
      <c r="AT141" s="49"/>
      <c r="AU141" s="49"/>
      <c r="AV141" s="49"/>
      <c r="AW141" s="49"/>
      <c r="AX141" s="49"/>
      <c r="AY141" s="49"/>
      <c r="AZ141" s="49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49"/>
      <c r="BN141" s="49"/>
      <c r="BO141" s="49"/>
      <c r="BP141" s="49"/>
      <c r="BQ141" s="49"/>
      <c r="BR141" s="49"/>
      <c r="BS141" s="32"/>
      <c r="BT141" s="32"/>
      <c r="BU141" s="32"/>
      <c r="BV141" s="32"/>
      <c r="BW141" s="32"/>
    </row>
    <row r="142" spans="1:75" x14ac:dyDescent="0.25">
      <c r="A142" s="49"/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AY142" s="49"/>
      <c r="AZ142" s="49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49"/>
      <c r="BN142" s="49"/>
      <c r="BO142" s="49"/>
      <c r="BP142" s="49"/>
      <c r="BQ142" s="49"/>
      <c r="BR142" s="49"/>
      <c r="BS142" s="32"/>
      <c r="BT142" s="32"/>
      <c r="BU142" s="32"/>
      <c r="BV142" s="32"/>
      <c r="BW142" s="32"/>
    </row>
    <row r="143" spans="1:75" x14ac:dyDescent="0.25">
      <c r="A143" s="49"/>
      <c r="B143" s="49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49"/>
      <c r="AK143" s="49"/>
      <c r="AL143" s="49"/>
      <c r="AM143" s="49"/>
      <c r="AN143" s="49"/>
      <c r="AO143" s="49"/>
      <c r="AP143" s="49"/>
      <c r="AQ143" s="49"/>
      <c r="AR143" s="49"/>
      <c r="AS143" s="49"/>
      <c r="AT143" s="49"/>
      <c r="AU143" s="49"/>
      <c r="AV143" s="49"/>
      <c r="AW143" s="49"/>
      <c r="AX143" s="49"/>
      <c r="AY143" s="49"/>
      <c r="AZ143" s="49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49"/>
      <c r="BN143" s="49"/>
      <c r="BO143" s="49"/>
      <c r="BP143" s="49"/>
      <c r="BQ143" s="49"/>
      <c r="BR143" s="49"/>
      <c r="BS143" s="32"/>
      <c r="BT143" s="32"/>
      <c r="BU143" s="32"/>
      <c r="BV143" s="32"/>
      <c r="BW143" s="32"/>
    </row>
    <row r="144" spans="1:75" x14ac:dyDescent="0.25">
      <c r="A144" s="49"/>
      <c r="B144" s="49"/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>
        <f>SUM(R33:R143)</f>
        <v>70564.69</v>
      </c>
      <c r="S144" s="49"/>
      <c r="T144" s="49">
        <f>SUM(T33:T143)</f>
        <v>4813.3340000000007</v>
      </c>
      <c r="U144" s="49"/>
      <c r="V144" s="49">
        <f>SUM(V33:V143)</f>
        <v>73870.997999999992</v>
      </c>
      <c r="W144" s="49"/>
      <c r="X144" s="49"/>
      <c r="Y144" s="49">
        <f>SUM(Y33:Y143)</f>
        <v>20.226267105086293</v>
      </c>
      <c r="Z144" s="49">
        <f>SUM(Z33:Z143)</f>
        <v>-8.6507664540615004</v>
      </c>
      <c r="AA144" s="49"/>
      <c r="AB144" s="49"/>
      <c r="AC144" s="49">
        <f>SUM(AC33:AC143)</f>
        <v>0</v>
      </c>
      <c r="AD144" s="49">
        <f>SUM(AD33:AD143)</f>
        <v>0</v>
      </c>
      <c r="AE144" s="49"/>
      <c r="AF144" s="49">
        <f>SUM(AF33:AF143)</f>
        <v>-16.039000000000001</v>
      </c>
      <c r="AG144" s="49">
        <f>SUM(AG33:AG143)</f>
        <v>168.18599999999998</v>
      </c>
      <c r="AH144" s="49"/>
      <c r="AI144" s="49"/>
      <c r="AJ144" s="49"/>
      <c r="AK144" s="49"/>
      <c r="AL144" s="49"/>
      <c r="AM144" s="49"/>
      <c r="AN144" s="49"/>
      <c r="AO144" s="49">
        <f>SUM(R144:AN144)</f>
        <v>149412.74450065102</v>
      </c>
      <c r="AP144" s="49"/>
      <c r="AQ144" s="49"/>
      <c r="AR144" s="49"/>
      <c r="AS144" s="49"/>
      <c r="AT144" s="49"/>
      <c r="AU144" s="49"/>
      <c r="AV144" s="49"/>
      <c r="AW144" s="49"/>
      <c r="AX144" s="49"/>
      <c r="AY144" s="49"/>
      <c r="AZ144" s="49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49"/>
      <c r="BN144" s="49"/>
      <c r="BO144" s="49"/>
      <c r="BP144" s="49"/>
      <c r="BQ144" s="32"/>
      <c r="BR144" s="32"/>
      <c r="BS144" s="32"/>
      <c r="BT144" s="32"/>
      <c r="BU144" s="32"/>
      <c r="BV144" s="32"/>
      <c r="BW144" s="32"/>
    </row>
    <row r="145" spans="1:75" x14ac:dyDescent="0.25">
      <c r="A145" s="49"/>
      <c r="B145" s="49"/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/>
      <c r="AY145" s="49"/>
      <c r="AZ145" s="49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49"/>
      <c r="BN145" s="49"/>
      <c r="BO145" s="49"/>
      <c r="BP145" s="49"/>
      <c r="BQ145" s="32"/>
      <c r="BR145" s="32"/>
      <c r="BS145" s="32"/>
      <c r="BT145" s="32"/>
      <c r="BU145" s="32"/>
      <c r="BV145" s="32"/>
      <c r="BW145" s="32"/>
    </row>
    <row r="146" spans="1:75" x14ac:dyDescent="0.25">
      <c r="A146" s="49"/>
      <c r="B146" s="49"/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/>
      <c r="AY146" s="49"/>
      <c r="AZ146" s="49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49"/>
      <c r="BN146" s="49"/>
      <c r="BO146" s="49"/>
      <c r="BP146" s="49"/>
      <c r="BQ146" s="32"/>
      <c r="BR146" s="32"/>
      <c r="BS146" s="32"/>
      <c r="BT146" s="32"/>
      <c r="BU146" s="32"/>
      <c r="BV146" s="32"/>
      <c r="BW146" s="32"/>
    </row>
    <row r="147" spans="1:75" x14ac:dyDescent="0.25">
      <c r="A147" s="49"/>
      <c r="B147" s="49"/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49"/>
      <c r="AZ147" s="49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49"/>
      <c r="BN147" s="49"/>
      <c r="BO147" s="49"/>
      <c r="BP147" s="49"/>
      <c r="BQ147" s="32"/>
      <c r="BR147" s="32"/>
      <c r="BS147" s="32"/>
      <c r="BT147" s="32"/>
      <c r="BU147" s="32"/>
      <c r="BV147" s="32"/>
      <c r="BW147" s="32"/>
    </row>
    <row r="148" spans="1:75" x14ac:dyDescent="0.25">
      <c r="A148" s="49"/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49"/>
      <c r="AZ148" s="49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49"/>
      <c r="BN148" s="49"/>
      <c r="BO148" s="49"/>
      <c r="BP148" s="49"/>
      <c r="BQ148" s="32"/>
      <c r="BR148" s="32"/>
      <c r="BS148" s="32"/>
      <c r="BT148" s="32"/>
      <c r="BU148" s="32"/>
      <c r="BV148" s="32"/>
      <c r="BW148" s="32"/>
    </row>
    <row r="149" spans="1:75" x14ac:dyDescent="0.25">
      <c r="A149" s="49"/>
      <c r="B149" s="49"/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  <c r="AK149" s="49"/>
      <c r="AL149" s="49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49"/>
      <c r="AZ149" s="49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49"/>
      <c r="BN149" s="49"/>
      <c r="BO149" s="49"/>
      <c r="BP149" s="49"/>
      <c r="BQ149" s="32"/>
      <c r="BR149" s="32"/>
      <c r="BS149" s="32"/>
      <c r="BT149" s="32"/>
      <c r="BU149" s="32"/>
      <c r="BV149" s="32"/>
      <c r="BW149" s="32"/>
    </row>
    <row r="150" spans="1:75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  <c r="AJ150" s="49"/>
      <c r="AK150" s="49"/>
      <c r="AL150" s="49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49"/>
      <c r="AZ150" s="49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49"/>
      <c r="BN150" s="49"/>
      <c r="BO150" s="49"/>
      <c r="BP150" s="49"/>
      <c r="BQ150" s="32"/>
      <c r="BR150" s="32"/>
      <c r="BS150" s="32"/>
      <c r="BT150" s="32"/>
      <c r="BU150" s="32"/>
      <c r="BV150" s="32"/>
      <c r="BW150" s="32"/>
    </row>
    <row r="151" spans="1:75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49"/>
      <c r="M151" s="49"/>
      <c r="N151" s="49"/>
      <c r="O151" s="57"/>
      <c r="P151" s="57"/>
      <c r="Q151" s="57"/>
      <c r="R151" s="57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49"/>
      <c r="BN151" s="49"/>
      <c r="BO151" s="49"/>
      <c r="BP151" s="49"/>
      <c r="BQ151" s="32"/>
      <c r="BR151" s="32"/>
      <c r="BS151" s="32"/>
      <c r="BT151" s="32"/>
      <c r="BU151" s="32"/>
      <c r="BV151" s="32"/>
      <c r="BW151" s="32"/>
    </row>
    <row r="152" spans="1:75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49"/>
      <c r="M152" s="49"/>
      <c r="N152" s="49"/>
      <c r="O152" s="57"/>
      <c r="P152" s="57"/>
      <c r="Q152" s="57"/>
      <c r="R152" s="57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49"/>
      <c r="BN152" s="49"/>
      <c r="BO152" s="49"/>
      <c r="BP152" s="49"/>
      <c r="BQ152" s="32"/>
      <c r="BR152" s="32"/>
      <c r="BS152" s="32"/>
      <c r="BT152" s="32"/>
      <c r="BU152" s="32"/>
      <c r="BV152" s="32"/>
      <c r="BW152" s="32"/>
    </row>
    <row r="153" spans="1:75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49"/>
      <c r="M153" s="49"/>
      <c r="N153" s="49"/>
      <c r="O153" s="57"/>
      <c r="P153" s="57"/>
      <c r="Q153" s="57"/>
      <c r="R153" s="57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49"/>
      <c r="BN153" s="49"/>
      <c r="BO153" s="49"/>
      <c r="BP153" s="49"/>
      <c r="BQ153" s="32"/>
      <c r="BR153" s="32"/>
      <c r="BS153" s="32"/>
      <c r="BT153" s="32"/>
      <c r="BU153" s="32"/>
      <c r="BV153" s="32"/>
      <c r="BW153" s="32"/>
    </row>
    <row r="154" spans="1:75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49"/>
      <c r="M154" s="49"/>
      <c r="N154" s="49"/>
      <c r="O154" s="57"/>
      <c r="P154" s="57"/>
      <c r="Q154" s="57"/>
      <c r="R154" s="57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49"/>
      <c r="BN154" s="49"/>
      <c r="BO154" s="49"/>
      <c r="BP154" s="49"/>
      <c r="BQ154" s="32"/>
      <c r="BR154" s="32"/>
      <c r="BS154" s="32"/>
      <c r="BT154" s="32"/>
      <c r="BU154" s="32"/>
      <c r="BV154" s="32"/>
      <c r="BW154" s="32"/>
    </row>
    <row r="155" spans="1:75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49"/>
      <c r="M155" s="49"/>
      <c r="N155" s="49"/>
      <c r="O155" s="57"/>
      <c r="P155" s="57"/>
      <c r="Q155" s="57"/>
      <c r="R155" s="57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49"/>
      <c r="BN155" s="49"/>
      <c r="BO155" s="49"/>
      <c r="BP155" s="49"/>
      <c r="BQ155" s="32"/>
      <c r="BR155" s="32"/>
      <c r="BS155" s="32"/>
      <c r="BT155" s="32"/>
      <c r="BU155" s="32"/>
      <c r="BV155" s="32"/>
      <c r="BW155" s="32"/>
    </row>
    <row r="156" spans="1:75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49"/>
      <c r="M156" s="49"/>
      <c r="N156" s="49"/>
      <c r="O156" s="57"/>
      <c r="P156" s="57"/>
      <c r="Q156" s="57"/>
      <c r="R156" s="57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49"/>
      <c r="BN156" s="49"/>
      <c r="BO156" s="49"/>
      <c r="BP156" s="49"/>
      <c r="BQ156" s="32"/>
      <c r="BR156" s="32"/>
      <c r="BS156" s="32"/>
      <c r="BT156" s="32"/>
      <c r="BU156" s="32"/>
      <c r="BV156" s="32"/>
      <c r="BW156" s="32"/>
    </row>
    <row r="157" spans="1:75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49"/>
      <c r="M157" s="49"/>
      <c r="N157" s="49"/>
      <c r="O157" s="57"/>
      <c r="P157" s="57"/>
      <c r="Q157" s="57"/>
      <c r="R157" s="57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49"/>
      <c r="BN157" s="49"/>
      <c r="BO157" s="49"/>
      <c r="BP157" s="49"/>
      <c r="BQ157" s="32"/>
      <c r="BR157" s="32"/>
      <c r="BS157" s="32"/>
      <c r="BT157" s="32"/>
      <c r="BU157" s="32"/>
      <c r="BV157" s="32"/>
      <c r="BW157" s="32"/>
    </row>
    <row r="158" spans="1:75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49"/>
      <c r="M158" s="49"/>
      <c r="N158" s="49"/>
      <c r="O158" s="57"/>
      <c r="P158" s="57"/>
      <c r="Q158" s="57"/>
      <c r="R158" s="57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49"/>
      <c r="BN158" s="49"/>
      <c r="BO158" s="49"/>
      <c r="BP158" s="49"/>
      <c r="BQ158" s="32"/>
      <c r="BR158" s="32"/>
      <c r="BS158" s="32"/>
      <c r="BT158" s="32"/>
      <c r="BU158" s="32"/>
      <c r="BV158" s="32"/>
      <c r="BW158" s="32"/>
    </row>
    <row r="159" spans="1:75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49"/>
      <c r="M159" s="49"/>
      <c r="N159" s="49"/>
      <c r="O159" s="57"/>
      <c r="P159" s="57"/>
      <c r="Q159" s="57"/>
      <c r="R159" s="57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7"/>
      <c r="AT159" s="57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49"/>
      <c r="BN159" s="49"/>
      <c r="BO159" s="49"/>
      <c r="BP159" s="49"/>
      <c r="BQ159" s="32"/>
      <c r="BR159" s="32"/>
      <c r="BS159" s="32"/>
      <c r="BT159" s="32"/>
      <c r="BU159" s="32"/>
      <c r="BV159" s="32"/>
      <c r="BW159" s="32"/>
    </row>
    <row r="160" spans="1:75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49"/>
      <c r="M160" s="49"/>
      <c r="N160" s="49"/>
      <c r="O160" s="57"/>
      <c r="P160" s="57"/>
      <c r="Q160" s="57"/>
      <c r="R160" s="57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49"/>
      <c r="BN160" s="49"/>
      <c r="BO160" s="49"/>
      <c r="BP160" s="49"/>
      <c r="BQ160" s="32"/>
      <c r="BR160" s="32"/>
      <c r="BS160" s="32"/>
      <c r="BT160" s="32"/>
      <c r="BU160" s="32"/>
      <c r="BV160" s="32"/>
      <c r="BW160" s="32"/>
    </row>
    <row r="161" spans="1:75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49"/>
      <c r="M161" s="49"/>
      <c r="N161" s="49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49"/>
      <c r="BN161" s="49"/>
      <c r="BO161" s="49"/>
      <c r="BP161" s="49"/>
      <c r="BQ161" s="32"/>
      <c r="BR161" s="32"/>
      <c r="BS161" s="32"/>
      <c r="BT161" s="32"/>
      <c r="BU161" s="32"/>
      <c r="BV161" s="32"/>
      <c r="BW161" s="32"/>
    </row>
    <row r="162" spans="1:75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49"/>
      <c r="M162" s="49"/>
      <c r="N162" s="49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7"/>
      <c r="AT162" s="57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49"/>
      <c r="BN162" s="49"/>
      <c r="BO162" s="49"/>
      <c r="BP162" s="49"/>
      <c r="BQ162" s="32"/>
      <c r="BR162" s="32"/>
      <c r="BS162" s="32"/>
      <c r="BT162" s="32"/>
      <c r="BU162" s="32"/>
      <c r="BV162" s="32"/>
      <c r="BW162" s="32"/>
    </row>
    <row r="163" spans="1:75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49"/>
      <c r="M163" s="49"/>
      <c r="N163" s="49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49"/>
      <c r="BN163" s="49"/>
      <c r="BO163" s="49"/>
      <c r="BP163" s="49"/>
      <c r="BQ163" s="32"/>
      <c r="BR163" s="32"/>
      <c r="BS163" s="32"/>
      <c r="BT163" s="32"/>
      <c r="BU163" s="32"/>
      <c r="BV163" s="32"/>
      <c r="BW163" s="32"/>
    </row>
    <row r="164" spans="1:75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49"/>
      <c r="M164" s="49"/>
      <c r="N164" s="49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49"/>
      <c r="BN164" s="49"/>
      <c r="BO164" s="49"/>
      <c r="BP164" s="49"/>
      <c r="BQ164" s="32"/>
      <c r="BR164" s="32"/>
      <c r="BS164" s="32"/>
      <c r="BT164" s="32"/>
      <c r="BU164" s="32"/>
      <c r="BV164" s="32"/>
      <c r="BW164" s="32"/>
    </row>
    <row r="165" spans="1:75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49"/>
      <c r="M165" s="49"/>
      <c r="N165" s="49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49"/>
      <c r="BN165" s="49"/>
      <c r="BO165" s="49"/>
      <c r="BP165" s="49"/>
      <c r="BQ165" s="32"/>
      <c r="BR165" s="32"/>
      <c r="BS165" s="32"/>
      <c r="BT165" s="32"/>
      <c r="BU165" s="32"/>
      <c r="BV165" s="32"/>
      <c r="BW165" s="32"/>
    </row>
    <row r="166" spans="1:75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49"/>
      <c r="M166" s="49"/>
      <c r="N166" s="49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7"/>
      <c r="AT166" s="57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49"/>
      <c r="BN166" s="49"/>
      <c r="BO166" s="49"/>
      <c r="BP166" s="49"/>
      <c r="BQ166" s="32"/>
      <c r="BR166" s="32"/>
      <c r="BS166" s="32"/>
      <c r="BT166" s="32"/>
      <c r="BU166" s="32"/>
      <c r="BV166" s="32"/>
      <c r="BW166" s="32"/>
    </row>
    <row r="167" spans="1:75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49"/>
      <c r="M167" s="49"/>
      <c r="N167" s="49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7"/>
      <c r="AT167" s="57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49"/>
      <c r="BN167" s="49"/>
      <c r="BO167" s="49"/>
      <c r="BP167" s="49"/>
      <c r="BQ167" s="32"/>
      <c r="BR167" s="32"/>
      <c r="BS167" s="32"/>
      <c r="BT167" s="32"/>
      <c r="BU167" s="32"/>
      <c r="BV167" s="32"/>
      <c r="BW167" s="32"/>
    </row>
    <row r="168" spans="1:75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49"/>
      <c r="M168" s="49"/>
      <c r="N168" s="49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7"/>
      <c r="AT168" s="57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49"/>
      <c r="BN168" s="49"/>
      <c r="BO168" s="49"/>
      <c r="BP168" s="49"/>
      <c r="BQ168" s="32"/>
      <c r="BR168" s="32"/>
      <c r="BS168" s="32"/>
      <c r="BT168" s="32"/>
      <c r="BU168" s="32"/>
      <c r="BV168" s="32"/>
      <c r="BW168" s="32"/>
    </row>
    <row r="169" spans="1:75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49"/>
      <c r="M169" s="49"/>
      <c r="N169" s="49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7"/>
      <c r="AT169" s="57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49"/>
      <c r="BN169" s="49"/>
      <c r="BO169" s="49"/>
      <c r="BP169" s="49"/>
      <c r="BQ169" s="32"/>
      <c r="BR169" s="32"/>
      <c r="BS169" s="32"/>
      <c r="BT169" s="32"/>
      <c r="BU169" s="32"/>
      <c r="BV169" s="32"/>
      <c r="BW169" s="32"/>
    </row>
    <row r="170" spans="1:75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49"/>
      <c r="M170" s="49"/>
      <c r="N170" s="49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7"/>
      <c r="AT170" s="57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49"/>
      <c r="BN170" s="49"/>
      <c r="BO170" s="49"/>
      <c r="BP170" s="49"/>
      <c r="BQ170" s="32"/>
      <c r="BR170" s="32"/>
      <c r="BS170" s="32"/>
      <c r="BT170" s="32"/>
      <c r="BU170" s="32"/>
      <c r="BV170" s="32"/>
      <c r="BW170" s="32"/>
    </row>
    <row r="171" spans="1:75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49"/>
      <c r="M171" s="49"/>
      <c r="N171" s="49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49"/>
      <c r="BN171" s="49"/>
      <c r="BO171" s="49"/>
      <c r="BP171" s="49"/>
      <c r="BQ171" s="32"/>
      <c r="BR171" s="32"/>
      <c r="BS171" s="32"/>
      <c r="BT171" s="32"/>
      <c r="BU171" s="32"/>
      <c r="BV171" s="32"/>
      <c r="BW171" s="32"/>
    </row>
    <row r="172" spans="1:75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49"/>
      <c r="M172" s="49"/>
      <c r="N172" s="49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49"/>
      <c r="BN172" s="49"/>
      <c r="BO172" s="49"/>
      <c r="BP172" s="49"/>
      <c r="BQ172" s="32"/>
      <c r="BR172" s="32"/>
      <c r="BS172" s="32"/>
      <c r="BT172" s="32"/>
      <c r="BU172" s="32"/>
      <c r="BV172" s="32"/>
      <c r="BW172" s="32"/>
    </row>
    <row r="173" spans="1:75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49"/>
      <c r="M173" s="49"/>
      <c r="N173" s="49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49"/>
      <c r="BN173" s="49"/>
      <c r="BO173" s="49"/>
      <c r="BP173" s="49"/>
      <c r="BQ173" s="32"/>
      <c r="BR173" s="32"/>
      <c r="BS173" s="32"/>
      <c r="BT173" s="32"/>
      <c r="BU173" s="32"/>
      <c r="BV173" s="32"/>
      <c r="BW173" s="32"/>
    </row>
    <row r="174" spans="1:75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49"/>
      <c r="M174" s="49"/>
      <c r="N174" s="49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7"/>
      <c r="AT174" s="57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49"/>
      <c r="BN174" s="49"/>
      <c r="BO174" s="49"/>
      <c r="BP174" s="49"/>
      <c r="BQ174" s="32"/>
      <c r="BR174" s="32"/>
      <c r="BS174" s="32"/>
      <c r="BT174" s="32"/>
      <c r="BU174" s="32"/>
      <c r="BV174" s="32"/>
      <c r="BW174" s="32"/>
    </row>
    <row r="175" spans="1:75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49"/>
      <c r="M175" s="49"/>
      <c r="N175" s="49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7"/>
      <c r="AT175" s="57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49"/>
      <c r="BN175" s="49"/>
      <c r="BO175" s="49"/>
      <c r="BP175" s="49"/>
      <c r="BQ175" s="32"/>
      <c r="BR175" s="32"/>
      <c r="BS175" s="32"/>
      <c r="BT175" s="32"/>
      <c r="BU175" s="32"/>
      <c r="BV175" s="32"/>
      <c r="BW175" s="32"/>
    </row>
    <row r="176" spans="1:75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49"/>
      <c r="M176" s="49"/>
      <c r="N176" s="49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7"/>
      <c r="AT176" s="57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49"/>
      <c r="BN176" s="49"/>
      <c r="BO176" s="49"/>
      <c r="BP176" s="49"/>
      <c r="BQ176" s="32"/>
      <c r="BR176" s="32"/>
      <c r="BS176" s="32"/>
      <c r="BT176" s="32"/>
      <c r="BU176" s="32"/>
      <c r="BV176" s="32"/>
      <c r="BW176" s="32"/>
    </row>
    <row r="177" spans="1:75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49"/>
      <c r="M177" s="49"/>
      <c r="N177" s="49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7"/>
      <c r="AT177" s="57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49"/>
      <c r="BN177" s="49"/>
      <c r="BO177" s="49"/>
      <c r="BP177" s="49"/>
      <c r="BQ177" s="32"/>
      <c r="BR177" s="32"/>
      <c r="BS177" s="32"/>
      <c r="BT177" s="32"/>
      <c r="BU177" s="32"/>
      <c r="BV177" s="32"/>
      <c r="BW177" s="32"/>
    </row>
    <row r="178" spans="1:75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49"/>
      <c r="M178" s="49"/>
      <c r="N178" s="49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7"/>
      <c r="AT178" s="57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49"/>
      <c r="BN178" s="49"/>
      <c r="BO178" s="49"/>
      <c r="BP178" s="49"/>
      <c r="BQ178" s="32"/>
      <c r="BR178" s="32"/>
      <c r="BS178" s="32"/>
      <c r="BT178" s="32"/>
      <c r="BU178" s="32"/>
      <c r="BV178" s="32"/>
      <c r="BW178" s="32"/>
    </row>
    <row r="179" spans="1:75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49"/>
      <c r="M179" s="49"/>
      <c r="N179" s="49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49"/>
      <c r="BN179" s="49"/>
      <c r="BO179" s="49"/>
      <c r="BP179" s="49"/>
      <c r="BQ179" s="32"/>
      <c r="BR179" s="32"/>
      <c r="BS179" s="32"/>
      <c r="BT179" s="32"/>
      <c r="BU179" s="32"/>
      <c r="BV179" s="32"/>
      <c r="BW179" s="32"/>
    </row>
    <row r="180" spans="1:75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49"/>
      <c r="M180" s="49"/>
      <c r="N180" s="49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49"/>
      <c r="BN180" s="49"/>
      <c r="BO180" s="49"/>
      <c r="BP180" s="49"/>
      <c r="BQ180" s="32"/>
      <c r="BR180" s="32"/>
      <c r="BS180" s="32"/>
      <c r="BT180" s="32"/>
      <c r="BU180" s="32"/>
      <c r="BV180" s="32"/>
      <c r="BW180" s="32"/>
    </row>
    <row r="181" spans="1:75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49"/>
      <c r="M181" s="49"/>
      <c r="N181" s="49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49"/>
      <c r="BN181" s="49"/>
      <c r="BO181" s="49"/>
      <c r="BP181" s="49"/>
      <c r="BQ181" s="32"/>
      <c r="BR181" s="32"/>
      <c r="BS181" s="32"/>
      <c r="BT181" s="32"/>
      <c r="BU181" s="32"/>
      <c r="BV181" s="32"/>
      <c r="BW181" s="32"/>
    </row>
    <row r="182" spans="1:75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49"/>
      <c r="M182" s="49"/>
      <c r="N182" s="49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49"/>
      <c r="BN182" s="49"/>
      <c r="BO182" s="49"/>
      <c r="BP182" s="49"/>
      <c r="BQ182" s="32"/>
      <c r="BR182" s="32"/>
      <c r="BS182" s="32"/>
      <c r="BT182" s="32"/>
      <c r="BU182" s="32"/>
      <c r="BV182" s="32"/>
      <c r="BW182" s="32"/>
    </row>
    <row r="183" spans="1:75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49"/>
      <c r="M183" s="49"/>
      <c r="N183" s="49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7"/>
      <c r="AT183" s="57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49"/>
      <c r="BN183" s="49"/>
      <c r="BO183" s="49"/>
      <c r="BP183" s="49"/>
      <c r="BQ183" s="32"/>
      <c r="BR183" s="32"/>
      <c r="BS183" s="32"/>
      <c r="BT183" s="32"/>
      <c r="BU183" s="32"/>
      <c r="BV183" s="32"/>
      <c r="BW183" s="32"/>
    </row>
    <row r="184" spans="1:75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49"/>
      <c r="M184" s="49"/>
      <c r="N184" s="49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7"/>
      <c r="AT184" s="57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49"/>
      <c r="BN184" s="49"/>
      <c r="BO184" s="49"/>
      <c r="BP184" s="49"/>
      <c r="BQ184" s="32"/>
      <c r="BR184" s="32"/>
      <c r="BS184" s="32"/>
      <c r="BT184" s="32"/>
      <c r="BU184" s="32"/>
      <c r="BV184" s="32"/>
      <c r="BW184" s="32"/>
    </row>
    <row r="185" spans="1:75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49"/>
      <c r="M185" s="49"/>
      <c r="N185" s="49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49"/>
      <c r="BN185" s="49"/>
      <c r="BO185" s="49"/>
      <c r="BP185" s="49"/>
      <c r="BQ185" s="32"/>
      <c r="BR185" s="32"/>
      <c r="BS185" s="32"/>
      <c r="BT185" s="32"/>
      <c r="BU185" s="32"/>
      <c r="BV185" s="32"/>
      <c r="BW185" s="32"/>
    </row>
    <row r="186" spans="1:75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49"/>
      <c r="M186" s="49"/>
      <c r="N186" s="49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49"/>
      <c r="BN186" s="49"/>
      <c r="BO186" s="49"/>
      <c r="BP186" s="49"/>
      <c r="BQ186" s="32"/>
      <c r="BR186" s="32"/>
      <c r="BS186" s="32"/>
      <c r="BT186" s="32"/>
      <c r="BU186" s="32"/>
      <c r="BV186" s="32"/>
      <c r="BW186" s="32"/>
    </row>
    <row r="187" spans="1:75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49"/>
      <c r="M187" s="49"/>
      <c r="N187" s="49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49"/>
      <c r="BN187" s="49"/>
      <c r="BO187" s="49"/>
      <c r="BP187" s="49"/>
      <c r="BQ187" s="32"/>
      <c r="BR187" s="32"/>
      <c r="BS187" s="32"/>
      <c r="BT187" s="32"/>
      <c r="BU187" s="32"/>
      <c r="BV187" s="32"/>
      <c r="BW187" s="32"/>
    </row>
    <row r="188" spans="1:75" x14ac:dyDescent="0.25">
      <c r="L188" s="5"/>
      <c r="M188" s="5"/>
      <c r="N188" s="5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5"/>
      <c r="BN188" s="5"/>
      <c r="BO188" s="5"/>
      <c r="BP188" s="5"/>
    </row>
    <row r="189" spans="1:75" x14ac:dyDescent="0.25">
      <c r="L189" s="5"/>
      <c r="M189" s="5"/>
      <c r="N189" s="5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5"/>
      <c r="BN189" s="5"/>
      <c r="BO189" s="5"/>
      <c r="BP189" s="5"/>
    </row>
    <row r="190" spans="1:75" x14ac:dyDescent="0.25">
      <c r="L190" s="5"/>
      <c r="M190" s="5"/>
      <c r="N190" s="5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5"/>
      <c r="BN190" s="5"/>
      <c r="BO190" s="5"/>
      <c r="BP190" s="5"/>
    </row>
    <row r="191" spans="1:75" x14ac:dyDescent="0.25">
      <c r="L191" s="5"/>
      <c r="M191" s="5"/>
      <c r="N191" s="5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5"/>
      <c r="BN191" s="5"/>
      <c r="BO191" s="5"/>
      <c r="BP191" s="5"/>
    </row>
    <row r="192" spans="1:75" x14ac:dyDescent="0.25">
      <c r="L192" s="5"/>
      <c r="M192" s="5"/>
      <c r="N192" s="5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5"/>
      <c r="BN192" s="5"/>
      <c r="BO192" s="5"/>
      <c r="BP192" s="5"/>
    </row>
    <row r="193" spans="12:68" x14ac:dyDescent="0.25">
      <c r="L193" s="5"/>
      <c r="M193" s="5"/>
      <c r="N193" s="5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5"/>
      <c r="BN193" s="5"/>
      <c r="BO193" s="5"/>
      <c r="BP193" s="5"/>
    </row>
    <row r="194" spans="12:68" x14ac:dyDescent="0.25">
      <c r="L194" s="5"/>
      <c r="M194" s="5"/>
      <c r="N194" s="5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5"/>
      <c r="BN194" s="5"/>
      <c r="BO194" s="5"/>
      <c r="BP194" s="5"/>
    </row>
    <row r="195" spans="12:68" x14ac:dyDescent="0.25">
      <c r="L195" s="5"/>
      <c r="M195" s="5"/>
      <c r="N195" s="5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5"/>
      <c r="BN195" s="5"/>
      <c r="BO195" s="5"/>
      <c r="BP195" s="5"/>
    </row>
    <row r="196" spans="12:68" x14ac:dyDescent="0.25">
      <c r="L196" s="5"/>
      <c r="M196" s="5"/>
      <c r="N196" s="5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5"/>
      <c r="BN196" s="5"/>
      <c r="BO196" s="5"/>
      <c r="BP196" s="5"/>
    </row>
    <row r="197" spans="12:68" x14ac:dyDescent="0.25">
      <c r="L197" s="5"/>
      <c r="M197" s="5"/>
      <c r="N197" s="5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5"/>
      <c r="BN197" s="5"/>
      <c r="BO197" s="5"/>
      <c r="BP197" s="5"/>
    </row>
    <row r="198" spans="12:68" x14ac:dyDescent="0.25">
      <c r="L198" s="5"/>
      <c r="M198" s="5"/>
      <c r="N198" s="5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5"/>
      <c r="BN198" s="5"/>
      <c r="BO198" s="5"/>
      <c r="BP198" s="5"/>
    </row>
    <row r="199" spans="12:68" x14ac:dyDescent="0.25">
      <c r="L199" s="5"/>
      <c r="M199" s="5"/>
      <c r="N199" s="5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5"/>
      <c r="BN199" s="5"/>
      <c r="BO199" s="5"/>
      <c r="BP199" s="5"/>
    </row>
    <row r="200" spans="12:68" x14ac:dyDescent="0.25">
      <c r="L200" s="5"/>
      <c r="M200" s="5"/>
      <c r="N200" s="5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5"/>
      <c r="BN200" s="5"/>
      <c r="BO200" s="5"/>
      <c r="BP200" s="5"/>
    </row>
    <row r="201" spans="12:68" x14ac:dyDescent="0.25">
      <c r="L201" s="5"/>
      <c r="M201" s="5"/>
      <c r="N201" s="5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5"/>
      <c r="BN201" s="5"/>
      <c r="BO201" s="5"/>
      <c r="BP201" s="5"/>
    </row>
    <row r="202" spans="12:68" x14ac:dyDescent="0.25">
      <c r="L202" s="5"/>
      <c r="M202" s="5"/>
      <c r="N202" s="5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5"/>
      <c r="BN202" s="5"/>
      <c r="BO202" s="5"/>
      <c r="BP202" s="5"/>
    </row>
    <row r="203" spans="12:68" x14ac:dyDescent="0.25">
      <c r="L203" s="5"/>
      <c r="M203" s="5"/>
      <c r="N203" s="5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5"/>
      <c r="BN203" s="5"/>
      <c r="BO203" s="5"/>
      <c r="BP203" s="5"/>
    </row>
    <row r="204" spans="12:68" x14ac:dyDescent="0.25">
      <c r="L204" s="5"/>
      <c r="M204" s="5"/>
      <c r="N204" s="5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5"/>
      <c r="BN204" s="5"/>
      <c r="BO204" s="5"/>
      <c r="BP204" s="5"/>
    </row>
    <row r="205" spans="12:68" x14ac:dyDescent="0.25">
      <c r="L205" s="5"/>
      <c r="M205" s="5"/>
      <c r="N205" s="5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5"/>
      <c r="BN205" s="5"/>
      <c r="BO205" s="5"/>
      <c r="BP205" s="5"/>
    </row>
    <row r="206" spans="12:68" x14ac:dyDescent="0.25">
      <c r="L206" s="5"/>
      <c r="M206" s="5"/>
      <c r="N206" s="5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5"/>
      <c r="BN206" s="5"/>
      <c r="BO206" s="5"/>
      <c r="BP206" s="5"/>
    </row>
    <row r="207" spans="12:68" x14ac:dyDescent="0.25">
      <c r="L207" s="5"/>
      <c r="M207" s="5"/>
      <c r="N207" s="5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5"/>
      <c r="BN207" s="5"/>
      <c r="BO207" s="5"/>
      <c r="BP207" s="5"/>
    </row>
    <row r="208" spans="12:68" x14ac:dyDescent="0.25">
      <c r="L208" s="5"/>
      <c r="M208" s="5"/>
      <c r="N208" s="5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5"/>
      <c r="BN208" s="5"/>
      <c r="BO208" s="5"/>
      <c r="BP208" s="5"/>
    </row>
    <row r="209" spans="12:68" x14ac:dyDescent="0.25">
      <c r="L209" s="5"/>
      <c r="M209" s="5"/>
      <c r="N209" s="5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5"/>
      <c r="BN209" s="5"/>
      <c r="BO209" s="5"/>
      <c r="BP209" s="5"/>
    </row>
    <row r="210" spans="12:68" x14ac:dyDescent="0.25">
      <c r="L210" s="5"/>
      <c r="M210" s="5"/>
      <c r="N210" s="5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5"/>
      <c r="BN210" s="5"/>
      <c r="BO210" s="5"/>
      <c r="BP210" s="5"/>
    </row>
    <row r="211" spans="12:68" x14ac:dyDescent="0.25">
      <c r="L211" s="5"/>
      <c r="M211" s="5"/>
      <c r="N211" s="5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5"/>
      <c r="BN211" s="5"/>
      <c r="BO211" s="5"/>
      <c r="BP211" s="5"/>
    </row>
    <row r="212" spans="12:68" x14ac:dyDescent="0.25">
      <c r="L212" s="5"/>
      <c r="M212" s="5"/>
      <c r="N212" s="5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5"/>
      <c r="BN212" s="5"/>
      <c r="BO212" s="5"/>
      <c r="BP212" s="5"/>
    </row>
    <row r="213" spans="12:68" x14ac:dyDescent="0.25">
      <c r="L213" s="5"/>
      <c r="M213" s="5"/>
      <c r="N213" s="5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5"/>
      <c r="BN213" s="5"/>
      <c r="BO213" s="5"/>
      <c r="BP213" s="5"/>
    </row>
    <row r="214" spans="12:68" x14ac:dyDescent="0.25">
      <c r="L214" s="5"/>
      <c r="M214" s="5"/>
      <c r="N214" s="5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5"/>
      <c r="BN214" s="5"/>
      <c r="BO214" s="5"/>
      <c r="BP214" s="5"/>
    </row>
    <row r="215" spans="12:68" x14ac:dyDescent="0.25">
      <c r="L215" s="5"/>
      <c r="M215" s="5"/>
      <c r="N215" s="5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5"/>
      <c r="BN215" s="5"/>
      <c r="BO215" s="5"/>
      <c r="BP215" s="5"/>
    </row>
    <row r="216" spans="12:68" x14ac:dyDescent="0.25">
      <c r="L216" s="5"/>
      <c r="M216" s="5"/>
      <c r="N216" s="5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5"/>
      <c r="BN216" s="5"/>
      <c r="BO216" s="5"/>
      <c r="BP216" s="5"/>
    </row>
    <row r="217" spans="12:68" x14ac:dyDescent="0.25">
      <c r="L217" s="5"/>
      <c r="M217" s="5"/>
      <c r="N217" s="5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5"/>
      <c r="BN217" s="5"/>
      <c r="BO217" s="5"/>
      <c r="BP217" s="5"/>
    </row>
    <row r="218" spans="12:68" x14ac:dyDescent="0.25">
      <c r="L218" s="5"/>
      <c r="M218" s="5"/>
      <c r="N218" s="5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5"/>
      <c r="BN218" s="5"/>
      <c r="BO218" s="5"/>
      <c r="BP218" s="5"/>
    </row>
    <row r="219" spans="12:68" x14ac:dyDescent="0.25">
      <c r="L219" s="5"/>
      <c r="M219" s="5"/>
      <c r="N219" s="5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5"/>
      <c r="BN219" s="5"/>
      <c r="BO219" s="5"/>
      <c r="BP219" s="5"/>
    </row>
    <row r="220" spans="12:68" x14ac:dyDescent="0.25">
      <c r="L220" s="5"/>
      <c r="M220" s="5"/>
      <c r="N220" s="5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5"/>
      <c r="BN220" s="5"/>
      <c r="BO220" s="5"/>
      <c r="BP220" s="5"/>
    </row>
    <row r="221" spans="12:68" x14ac:dyDescent="0.25">
      <c r="L221" s="5"/>
      <c r="M221" s="5"/>
      <c r="N221" s="5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5"/>
      <c r="BN221" s="5"/>
      <c r="BO221" s="5"/>
      <c r="BP221" s="5"/>
    </row>
    <row r="222" spans="12:68" x14ac:dyDescent="0.25">
      <c r="L222" s="5"/>
      <c r="M222" s="5"/>
      <c r="N222" s="5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5"/>
      <c r="BN222" s="5"/>
      <c r="BO222" s="5"/>
      <c r="BP222" s="5"/>
    </row>
    <row r="223" spans="12:68" x14ac:dyDescent="0.25">
      <c r="L223" s="5"/>
      <c r="M223" s="5"/>
      <c r="N223" s="5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5"/>
      <c r="BN223" s="5"/>
      <c r="BO223" s="5"/>
      <c r="BP223" s="5"/>
    </row>
    <row r="224" spans="12:68" x14ac:dyDescent="0.25">
      <c r="L224" s="5"/>
      <c r="M224" s="5"/>
      <c r="N224" s="5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5"/>
      <c r="BN224" s="5"/>
      <c r="BO224" s="5"/>
      <c r="BP224" s="5"/>
    </row>
    <row r="225" spans="12:68" x14ac:dyDescent="0.25">
      <c r="L225" s="5"/>
      <c r="M225" s="5"/>
      <c r="N225" s="5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5"/>
      <c r="BN225" s="5"/>
      <c r="BO225" s="5"/>
      <c r="BP225" s="5"/>
    </row>
    <row r="226" spans="12:68" x14ac:dyDescent="0.25">
      <c r="L226" s="5"/>
      <c r="M226" s="5"/>
      <c r="N226" s="5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5"/>
      <c r="BN226" s="5"/>
      <c r="BO226" s="5"/>
      <c r="BP226" s="5"/>
    </row>
    <row r="227" spans="12:68" x14ac:dyDescent="0.25">
      <c r="L227" s="5"/>
      <c r="M227" s="5"/>
      <c r="N227" s="5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5"/>
      <c r="BN227" s="5"/>
      <c r="BO227" s="5"/>
      <c r="BP227" s="5"/>
    </row>
    <row r="228" spans="12:68" x14ac:dyDescent="0.25">
      <c r="L228" s="5"/>
      <c r="M228" s="5"/>
      <c r="N228" s="5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5"/>
      <c r="BN228" s="5"/>
      <c r="BO228" s="5"/>
      <c r="BP228" s="5"/>
    </row>
    <row r="229" spans="12:68" x14ac:dyDescent="0.25">
      <c r="L229" s="5"/>
      <c r="M229" s="5"/>
      <c r="N229" s="5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5"/>
      <c r="BN229" s="5"/>
      <c r="BO229" s="5"/>
      <c r="BP229" s="5"/>
    </row>
    <row r="230" spans="12:68" x14ac:dyDescent="0.25">
      <c r="L230" s="5"/>
      <c r="M230" s="5"/>
      <c r="N230" s="5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5"/>
      <c r="BN230" s="5"/>
      <c r="BO230" s="5"/>
      <c r="BP230" s="5"/>
    </row>
    <row r="231" spans="12:68" x14ac:dyDescent="0.25">
      <c r="L231" s="5"/>
      <c r="M231" s="5"/>
      <c r="N231" s="5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5"/>
      <c r="BN231" s="5"/>
      <c r="BO231" s="5"/>
      <c r="BP231" s="5"/>
    </row>
    <row r="232" spans="12:68" x14ac:dyDescent="0.25">
      <c r="L232" s="5"/>
      <c r="M232" s="5"/>
      <c r="N232" s="5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5"/>
      <c r="BN232" s="5"/>
      <c r="BO232" s="5"/>
      <c r="BP232" s="5"/>
    </row>
    <row r="233" spans="12:68" x14ac:dyDescent="0.25">
      <c r="L233" s="5"/>
      <c r="M233" s="5"/>
      <c r="N233" s="5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5"/>
      <c r="BN233" s="5"/>
      <c r="BO233" s="5"/>
      <c r="BP233" s="5"/>
    </row>
    <row r="234" spans="12:68" x14ac:dyDescent="0.25">
      <c r="L234" s="5"/>
      <c r="M234" s="5"/>
      <c r="N234" s="5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5"/>
      <c r="BN234" s="5"/>
      <c r="BO234" s="5"/>
      <c r="BP234" s="5"/>
    </row>
    <row r="235" spans="12:68" x14ac:dyDescent="0.25">
      <c r="L235" s="5"/>
      <c r="M235" s="5"/>
      <c r="N235" s="5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5"/>
      <c r="BN235" s="5"/>
      <c r="BO235" s="5"/>
      <c r="BP235" s="5"/>
    </row>
    <row r="236" spans="12:68" x14ac:dyDescent="0.25">
      <c r="L236" s="5"/>
      <c r="M236" s="5"/>
      <c r="N236" s="5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5"/>
      <c r="BN236" s="5"/>
      <c r="BO236" s="5"/>
      <c r="BP236" s="5"/>
    </row>
    <row r="237" spans="12:68" x14ac:dyDescent="0.25">
      <c r="L237" s="5"/>
      <c r="M237" s="5"/>
      <c r="N237" s="5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5"/>
      <c r="BN237" s="5"/>
      <c r="BO237" s="5"/>
      <c r="BP237" s="5"/>
    </row>
    <row r="238" spans="12:68" x14ac:dyDescent="0.25">
      <c r="L238" s="5"/>
      <c r="M238" s="5"/>
      <c r="N238" s="5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5"/>
      <c r="BN238" s="5"/>
      <c r="BO238" s="5"/>
      <c r="BP238" s="5"/>
    </row>
    <row r="239" spans="12:68" x14ac:dyDescent="0.25">
      <c r="L239" s="5"/>
      <c r="M239" s="5"/>
      <c r="N239" s="5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5"/>
      <c r="BN239" s="5"/>
      <c r="BO239" s="5"/>
      <c r="BP239" s="5"/>
    </row>
    <row r="240" spans="12:68" x14ac:dyDescent="0.25">
      <c r="L240" s="5"/>
      <c r="M240" s="5"/>
      <c r="N240" s="5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5"/>
      <c r="BN240" s="5"/>
      <c r="BO240" s="5"/>
      <c r="BP240" s="5"/>
    </row>
    <row r="241" spans="12:68" x14ac:dyDescent="0.25">
      <c r="L241" s="5"/>
      <c r="M241" s="5"/>
      <c r="N241" s="5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5"/>
      <c r="BN241" s="5"/>
      <c r="BO241" s="5"/>
      <c r="BP241" s="5"/>
    </row>
    <row r="242" spans="12:68" x14ac:dyDescent="0.25">
      <c r="L242" s="5"/>
      <c r="M242" s="5"/>
      <c r="N242" s="5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5"/>
      <c r="BN242" s="5"/>
      <c r="BO242" s="5"/>
      <c r="BP242" s="5"/>
    </row>
    <row r="243" spans="12:68" x14ac:dyDescent="0.25">
      <c r="L243" s="5"/>
      <c r="M243" s="5"/>
      <c r="N243" s="5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5"/>
      <c r="BN243" s="5"/>
      <c r="BO243" s="5"/>
      <c r="BP243" s="5"/>
    </row>
    <row r="244" spans="12:68" x14ac:dyDescent="0.25">
      <c r="L244" s="5"/>
      <c r="M244" s="5"/>
      <c r="N244" s="5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5"/>
      <c r="BN244" s="5"/>
      <c r="BO244" s="5"/>
      <c r="BP244" s="5"/>
    </row>
    <row r="245" spans="12:68" x14ac:dyDescent="0.25">
      <c r="L245" s="5"/>
      <c r="M245" s="5"/>
      <c r="N245" s="5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5"/>
      <c r="BN245" s="5"/>
      <c r="BO245" s="5"/>
      <c r="BP245" s="5"/>
    </row>
    <row r="246" spans="12:68" x14ac:dyDescent="0.25">
      <c r="L246" s="5"/>
      <c r="M246" s="5"/>
      <c r="N246" s="5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5"/>
      <c r="BN246" s="5"/>
      <c r="BO246" s="5"/>
      <c r="BP246" s="5"/>
    </row>
    <row r="247" spans="12:68" x14ac:dyDescent="0.25">
      <c r="L247" s="5"/>
      <c r="M247" s="5"/>
      <c r="N247" s="5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5"/>
      <c r="BN247" s="5"/>
      <c r="BO247" s="5"/>
      <c r="BP247" s="5"/>
    </row>
    <row r="248" spans="12:68" x14ac:dyDescent="0.25">
      <c r="L248" s="5"/>
      <c r="M248" s="5"/>
      <c r="N248" s="5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5"/>
      <c r="BN248" s="5"/>
      <c r="BO248" s="5"/>
      <c r="BP248" s="5"/>
    </row>
    <row r="249" spans="12:68" x14ac:dyDescent="0.25">
      <c r="L249" s="5"/>
      <c r="M249" s="5"/>
      <c r="N249" s="5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5"/>
      <c r="BN249" s="5"/>
      <c r="BO249" s="5"/>
      <c r="BP249" s="5"/>
    </row>
    <row r="250" spans="12:68" x14ac:dyDescent="0.25">
      <c r="L250" s="5"/>
      <c r="M250" s="5"/>
      <c r="N250" s="5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5"/>
      <c r="BN250" s="5"/>
      <c r="BO250" s="5"/>
      <c r="BP250" s="5"/>
    </row>
    <row r="251" spans="12:68" x14ac:dyDescent="0.25">
      <c r="L251" s="5"/>
      <c r="M251" s="5"/>
      <c r="N251" s="5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5"/>
      <c r="BN251" s="5"/>
      <c r="BO251" s="5"/>
      <c r="BP251" s="5"/>
    </row>
    <row r="252" spans="12:68" x14ac:dyDescent="0.25">
      <c r="L252" s="5"/>
      <c r="M252" s="5"/>
      <c r="N252" s="5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5"/>
      <c r="BN252" s="5"/>
      <c r="BO252" s="5"/>
      <c r="BP252" s="5"/>
    </row>
    <row r="253" spans="12:68" x14ac:dyDescent="0.25">
      <c r="L253" s="5"/>
      <c r="M253" s="5"/>
      <c r="N253" s="5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5"/>
      <c r="BN253" s="5"/>
      <c r="BO253" s="5"/>
      <c r="BP253" s="5"/>
    </row>
    <row r="254" spans="12:68" x14ac:dyDescent="0.25">
      <c r="L254" s="5"/>
      <c r="M254" s="5"/>
      <c r="N254" s="5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5"/>
      <c r="BN254" s="5"/>
      <c r="BO254" s="5"/>
      <c r="BP254" s="5"/>
    </row>
    <row r="255" spans="12:68" x14ac:dyDescent="0.25">
      <c r="L255" s="5"/>
      <c r="M255" s="5"/>
      <c r="N255" s="5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5"/>
      <c r="BN255" s="5"/>
      <c r="BO255" s="5"/>
      <c r="BP255" s="5"/>
    </row>
    <row r="256" spans="12:68" x14ac:dyDescent="0.25">
      <c r="L256" s="5"/>
      <c r="M256" s="5"/>
      <c r="N256" s="5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5"/>
      <c r="BN256" s="5"/>
      <c r="BO256" s="5"/>
      <c r="BP256" s="5"/>
    </row>
    <row r="257" spans="12:68" x14ac:dyDescent="0.25">
      <c r="L257" s="5"/>
      <c r="M257" s="5"/>
      <c r="N257" s="5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5"/>
      <c r="BN257" s="5"/>
      <c r="BO257" s="5"/>
      <c r="BP257" s="5"/>
    </row>
    <row r="258" spans="12:68" x14ac:dyDescent="0.25">
      <c r="L258" s="5"/>
      <c r="M258" s="5"/>
      <c r="N258" s="5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5"/>
      <c r="BN258" s="5"/>
      <c r="BO258" s="5"/>
      <c r="BP258" s="5"/>
    </row>
    <row r="259" spans="12:68" x14ac:dyDescent="0.25">
      <c r="L259" s="5"/>
      <c r="M259" s="5"/>
      <c r="N259" s="5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5"/>
      <c r="BN259" s="5"/>
      <c r="BO259" s="5"/>
      <c r="BP259" s="5"/>
    </row>
    <row r="260" spans="12:68" x14ac:dyDescent="0.25">
      <c r="L260" s="5"/>
      <c r="M260" s="5"/>
      <c r="N260" s="5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5"/>
      <c r="BN260" s="5"/>
      <c r="BO260" s="5"/>
      <c r="BP260" s="5"/>
    </row>
    <row r="261" spans="12:68" x14ac:dyDescent="0.25">
      <c r="L261" s="5"/>
      <c r="M261" s="5"/>
      <c r="N261" s="5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5"/>
      <c r="BN261" s="5"/>
      <c r="BO261" s="5"/>
      <c r="BP261" s="5"/>
    </row>
    <row r="262" spans="12:68" x14ac:dyDescent="0.25">
      <c r="L262" s="5"/>
      <c r="M262" s="5"/>
      <c r="N262" s="5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5"/>
      <c r="BN262" s="5"/>
      <c r="BO262" s="5"/>
      <c r="BP262" s="5"/>
    </row>
    <row r="263" spans="12:68" x14ac:dyDescent="0.25">
      <c r="L263" s="5"/>
      <c r="M263" s="5"/>
      <c r="N263" s="5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5"/>
      <c r="BN263" s="5"/>
      <c r="BO263" s="5"/>
      <c r="BP263" s="5"/>
    </row>
    <row r="264" spans="12:68" x14ac:dyDescent="0.25">
      <c r="L264" s="5"/>
      <c r="M264" s="5"/>
      <c r="N264" s="5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5"/>
      <c r="BN264" s="5"/>
      <c r="BO264" s="5"/>
      <c r="BP264" s="5"/>
    </row>
    <row r="265" spans="12:68" x14ac:dyDescent="0.25">
      <c r="L265" s="5"/>
      <c r="M265" s="5"/>
      <c r="N265" s="5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5"/>
      <c r="BN265" s="5"/>
      <c r="BO265" s="5"/>
      <c r="BP265" s="5"/>
    </row>
    <row r="266" spans="12:68" x14ac:dyDescent="0.25">
      <c r="L266" s="5"/>
      <c r="M266" s="5"/>
      <c r="N266" s="5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5"/>
      <c r="BN266" s="5"/>
      <c r="BO266" s="5"/>
      <c r="BP266" s="5"/>
    </row>
  </sheetData>
  <customSheetViews>
    <customSheetView guid="{3A3E5509-6F94-4D69-A7C4-CEBE4E279804}" scale="70" showGridLines="0" topLeftCell="A7">
      <selection activeCell="R26" sqref="R26"/>
      <pageMargins left="0.7" right="0.7" top="0.75" bottom="0.75" header="0.3" footer="0.3"/>
      <pageSetup paperSize="9" orientation="portrait" horizontalDpi="0" verticalDpi="0" r:id="rId1"/>
    </customSheetView>
  </customSheetViews>
  <mergeCells count="41">
    <mergeCell ref="A44:A45"/>
    <mergeCell ref="R6:U6"/>
    <mergeCell ref="R10:U11"/>
    <mergeCell ref="R14:U15"/>
    <mergeCell ref="A27:K28"/>
    <mergeCell ref="N33:N36"/>
    <mergeCell ref="A6:A9"/>
    <mergeCell ref="Y30:AH31"/>
    <mergeCell ref="L33:M36"/>
    <mergeCell ref="F41:G41"/>
    <mergeCell ref="F42:G42"/>
    <mergeCell ref="F45:G45"/>
    <mergeCell ref="N32:O32"/>
    <mergeCell ref="F46:G46"/>
    <mergeCell ref="F47:G47"/>
    <mergeCell ref="O6:P6"/>
    <mergeCell ref="O10:P10"/>
    <mergeCell ref="O13:P13"/>
    <mergeCell ref="F33:G33"/>
    <mergeCell ref="F36:G36"/>
    <mergeCell ref="I36:J36"/>
    <mergeCell ref="F38:G38"/>
    <mergeCell ref="I38:J38"/>
    <mergeCell ref="L30:P30"/>
    <mergeCell ref="F31:G31"/>
    <mergeCell ref="I31:J31"/>
    <mergeCell ref="F32:G32"/>
    <mergeCell ref="I32:J32"/>
    <mergeCell ref="L32:M32"/>
    <mergeCell ref="W6:Z6"/>
    <mergeCell ref="W10:Z11"/>
    <mergeCell ref="W14:Z15"/>
    <mergeCell ref="E2:G2"/>
    <mergeCell ref="E3:G3"/>
    <mergeCell ref="E4:G4"/>
    <mergeCell ref="E5:G5"/>
    <mergeCell ref="I3:J3"/>
    <mergeCell ref="I4:J4"/>
    <mergeCell ref="I5:J5"/>
    <mergeCell ref="I2:J2"/>
    <mergeCell ref="G11:I16"/>
  </mergeCells>
  <pageMargins left="0.7" right="0.7" top="0.75" bottom="0.75" header="0.3" footer="0.3"/>
  <pageSetup paperSize="9" orientation="portrait" horizontalDpi="0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CC188"/>
  <sheetViews>
    <sheetView showGridLines="0" tabSelected="1" zoomScale="40" zoomScaleNormal="40" workbookViewId="0">
      <selection activeCell="A2" sqref="A2:C5"/>
    </sheetView>
  </sheetViews>
  <sheetFormatPr baseColWidth="10" defaultRowHeight="15" x14ac:dyDescent="0.25"/>
  <cols>
    <col min="1" max="1" width="8.7109375" customWidth="1"/>
    <col min="2" max="2" width="6.140625" customWidth="1"/>
    <col min="3" max="3" width="21.42578125" customWidth="1"/>
    <col min="4" max="4" width="12.140625" customWidth="1"/>
    <col min="5" max="5" width="8.85546875" customWidth="1"/>
    <col min="6" max="6" width="19.5703125" customWidth="1"/>
    <col min="7" max="7" width="40" customWidth="1"/>
    <col min="8" max="8" width="23.85546875" customWidth="1"/>
    <col min="9" max="9" width="19.42578125" customWidth="1"/>
    <col min="10" max="10" width="5.140625" customWidth="1"/>
    <col min="11" max="11" width="4.140625" customWidth="1"/>
    <col min="12" max="12" width="5.5703125" customWidth="1"/>
    <col min="13" max="13" width="25.28515625" customWidth="1"/>
    <col min="14" max="14" width="14.28515625" customWidth="1"/>
    <col min="15" max="15" width="19.7109375" customWidth="1"/>
    <col min="16" max="16" width="14.5703125" customWidth="1"/>
    <col min="17" max="17" width="46.140625" bestFit="1" customWidth="1"/>
    <col min="18" max="18" width="17.7109375" customWidth="1"/>
    <col min="19" max="19" width="34.42578125" customWidth="1"/>
    <col min="21" max="21" width="4.140625" customWidth="1"/>
    <col min="22" max="22" width="53.140625" customWidth="1"/>
    <col min="23" max="23" width="20.7109375" customWidth="1"/>
  </cols>
  <sheetData>
    <row r="1" spans="1:75" ht="23.25" x14ac:dyDescent="0.35">
      <c r="A1" s="67"/>
      <c r="B1" s="67"/>
      <c r="C1" s="67"/>
    </row>
    <row r="2" spans="1:75" x14ac:dyDescent="0.25">
      <c r="A2" s="299" t="s">
        <v>144</v>
      </c>
      <c r="B2" s="299"/>
      <c r="C2" s="299"/>
    </row>
    <row r="3" spans="1:75" x14ac:dyDescent="0.25">
      <c r="A3" s="299"/>
      <c r="B3" s="299"/>
      <c r="C3" s="299"/>
    </row>
    <row r="4" spans="1:75" ht="20.25" customHeight="1" x14ac:dyDescent="0.25">
      <c r="A4" s="299"/>
      <c r="B4" s="299"/>
      <c r="C4" s="299"/>
      <c r="D4" s="68"/>
    </row>
    <row r="5" spans="1:75" ht="20.25" customHeight="1" x14ac:dyDescent="0.25">
      <c r="A5" s="299"/>
      <c r="B5" s="299"/>
      <c r="C5" s="299"/>
    </row>
    <row r="6" spans="1:75" ht="20.25" customHeight="1" x14ac:dyDescent="0.35">
      <c r="A6" s="67"/>
      <c r="B6" s="67"/>
      <c r="C6" s="67"/>
    </row>
    <row r="7" spans="1:75" ht="20.25" customHeight="1" x14ac:dyDescent="0.25"/>
    <row r="8" spans="1:75" ht="20.25" customHeight="1" x14ac:dyDescent="0.25"/>
    <row r="9" spans="1:75" ht="20.25" customHeight="1" x14ac:dyDescent="0.25"/>
    <row r="10" spans="1:75" ht="20.25" customHeight="1" x14ac:dyDescent="0.25">
      <c r="BO10" s="237" t="s">
        <v>249</v>
      </c>
      <c r="BP10" s="237"/>
      <c r="BQ10" s="237"/>
      <c r="BR10" s="237"/>
      <c r="BS10" s="237"/>
      <c r="BT10" s="237"/>
      <c r="BU10" s="237"/>
      <c r="BV10" s="237"/>
      <c r="BW10" s="237"/>
    </row>
    <row r="11" spans="1:75" x14ac:dyDescent="0.25">
      <c r="BO11" s="237"/>
      <c r="BP11" s="237"/>
      <c r="BQ11" s="237"/>
      <c r="BR11" s="237"/>
      <c r="BS11" s="237"/>
      <c r="BT11" s="237"/>
      <c r="BU11" s="237"/>
      <c r="BV11" s="237"/>
      <c r="BW11" s="237"/>
    </row>
    <row r="12" spans="1:75" x14ac:dyDescent="0.25">
      <c r="AB12" s="245" t="s">
        <v>252</v>
      </c>
      <c r="AC12" s="245"/>
      <c r="AD12" s="245"/>
      <c r="AE12" s="245"/>
      <c r="AF12" s="245"/>
      <c r="AG12" s="245"/>
      <c r="AU12" s="238" t="s">
        <v>248</v>
      </c>
      <c r="AV12" s="238"/>
      <c r="AW12" s="238"/>
      <c r="AX12" s="238"/>
      <c r="AY12" s="238"/>
      <c r="AZ12" s="238"/>
      <c r="BA12" s="238"/>
      <c r="BB12" s="238"/>
      <c r="BD12" s="60"/>
      <c r="BO12" s="237"/>
      <c r="BP12" s="237"/>
      <c r="BQ12" s="237"/>
      <c r="BR12" s="237"/>
      <c r="BS12" s="237"/>
      <c r="BT12" s="237"/>
      <c r="BU12" s="237"/>
      <c r="BV12" s="237"/>
      <c r="BW12" s="237"/>
    </row>
    <row r="13" spans="1:75" x14ac:dyDescent="0.25">
      <c r="AB13" s="245"/>
      <c r="AC13" s="245"/>
      <c r="AD13" s="245"/>
      <c r="AE13" s="245"/>
      <c r="AF13" s="245"/>
      <c r="AG13" s="245"/>
      <c r="AU13" s="238"/>
      <c r="AV13" s="238"/>
      <c r="AW13" s="238"/>
      <c r="AX13" s="238"/>
      <c r="AY13" s="238"/>
      <c r="AZ13" s="238"/>
      <c r="BA13" s="238"/>
      <c r="BB13" s="238"/>
      <c r="BG13" s="60"/>
      <c r="BO13" s="237"/>
      <c r="BP13" s="237"/>
      <c r="BQ13" s="237"/>
      <c r="BR13" s="237"/>
      <c r="BS13" s="237"/>
      <c r="BT13" s="237"/>
      <c r="BU13" s="237"/>
      <c r="BV13" s="237"/>
      <c r="BW13" s="237"/>
    </row>
    <row r="14" spans="1:75" x14ac:dyDescent="0.25">
      <c r="W14" s="60"/>
      <c r="BG14" s="60"/>
    </row>
    <row r="15" spans="1:75" x14ac:dyDescent="0.25">
      <c r="L15" s="60"/>
      <c r="W15" s="60"/>
      <c r="BG15" s="60"/>
    </row>
    <row r="16" spans="1:75" x14ac:dyDescent="0.25">
      <c r="L16" s="60"/>
      <c r="W16" s="60"/>
      <c r="BG16" s="60"/>
    </row>
    <row r="17" spans="12:59" x14ac:dyDescent="0.25">
      <c r="L17" s="60"/>
      <c r="W17" s="60"/>
      <c r="BG17" s="60"/>
    </row>
    <row r="18" spans="12:59" x14ac:dyDescent="0.25">
      <c r="L18" s="60"/>
      <c r="W18" s="60"/>
      <c r="BG18" s="60"/>
    </row>
    <row r="19" spans="12:59" x14ac:dyDescent="0.25">
      <c r="L19" s="60"/>
      <c r="W19" s="60"/>
      <c r="BG19" s="60"/>
    </row>
    <row r="20" spans="12:59" x14ac:dyDescent="0.25">
      <c r="L20" s="60"/>
      <c r="W20" s="60"/>
      <c r="BG20" s="60"/>
    </row>
    <row r="21" spans="12:59" x14ac:dyDescent="0.25">
      <c r="L21" s="60"/>
      <c r="W21" s="60"/>
      <c r="BG21" s="60"/>
    </row>
    <row r="22" spans="12:59" x14ac:dyDescent="0.25">
      <c r="L22" s="60"/>
      <c r="W22" s="60"/>
      <c r="BG22" s="60"/>
    </row>
    <row r="23" spans="12:59" x14ac:dyDescent="0.25">
      <c r="L23" s="60"/>
      <c r="W23" s="60"/>
      <c r="BG23" s="60"/>
    </row>
    <row r="24" spans="12:59" x14ac:dyDescent="0.25">
      <c r="L24" s="60"/>
      <c r="W24" s="60"/>
      <c r="BG24" s="60"/>
    </row>
    <row r="25" spans="12:59" x14ac:dyDescent="0.25">
      <c r="L25" s="60"/>
      <c r="W25" s="60"/>
      <c r="BG25" s="60"/>
    </row>
    <row r="26" spans="12:59" x14ac:dyDescent="0.25">
      <c r="L26" s="60"/>
      <c r="W26" s="60"/>
      <c r="BG26" s="60"/>
    </row>
    <row r="27" spans="12:59" x14ac:dyDescent="0.25">
      <c r="L27" s="60"/>
      <c r="W27" s="60"/>
      <c r="BG27" s="60"/>
    </row>
    <row r="28" spans="12:59" x14ac:dyDescent="0.25">
      <c r="L28" s="60"/>
      <c r="W28" s="60"/>
      <c r="BG28" s="60"/>
    </row>
    <row r="29" spans="12:59" x14ac:dyDescent="0.25">
      <c r="L29" s="60"/>
      <c r="W29" s="60"/>
      <c r="BG29" s="60"/>
    </row>
    <row r="30" spans="12:59" x14ac:dyDescent="0.25">
      <c r="L30" s="60"/>
      <c r="W30" s="60"/>
      <c r="BG30" s="60"/>
    </row>
    <row r="31" spans="12:59" x14ac:dyDescent="0.25">
      <c r="L31" s="60"/>
      <c r="W31" s="60"/>
      <c r="BG31" s="60"/>
    </row>
    <row r="32" spans="12:59" x14ac:dyDescent="0.25">
      <c r="L32" s="60"/>
      <c r="W32" s="60"/>
      <c r="BG32" s="60"/>
    </row>
    <row r="33" spans="12:81" ht="26.25" x14ac:dyDescent="0.4">
      <c r="L33" s="60"/>
      <c r="W33" s="60"/>
      <c r="BG33" s="60"/>
      <c r="CA33" s="61"/>
      <c r="CB33" s="61"/>
      <c r="CC33" s="149" t="s">
        <v>250</v>
      </c>
    </row>
    <row r="34" spans="12:81" x14ac:dyDescent="0.25">
      <c r="L34" s="60"/>
      <c r="W34" s="60"/>
      <c r="BG34" s="60"/>
    </row>
    <row r="35" spans="12:81" x14ac:dyDescent="0.25">
      <c r="L35" s="60"/>
      <c r="W35" s="60"/>
      <c r="BG35" s="60"/>
    </row>
    <row r="36" spans="12:81" x14ac:dyDescent="0.25">
      <c r="L36" s="60"/>
      <c r="W36" s="60"/>
      <c r="BG36" s="60"/>
    </row>
    <row r="37" spans="12:81" x14ac:dyDescent="0.25">
      <c r="L37" s="60"/>
      <c r="W37" s="60"/>
      <c r="BG37" s="60"/>
    </row>
    <row r="38" spans="12:81" x14ac:dyDescent="0.25">
      <c r="L38" s="60"/>
      <c r="W38" s="60"/>
      <c r="BG38" s="60"/>
    </row>
    <row r="39" spans="12:81" x14ac:dyDescent="0.25">
      <c r="L39" s="60"/>
      <c r="W39" s="60"/>
      <c r="BG39" s="60"/>
    </row>
    <row r="40" spans="12:81" x14ac:dyDescent="0.25">
      <c r="L40" s="60"/>
      <c r="W40" s="60"/>
      <c r="BG40" s="60"/>
    </row>
    <row r="41" spans="12:81" x14ac:dyDescent="0.25">
      <c r="L41" s="60"/>
      <c r="W41" s="60"/>
      <c r="BG41" s="60"/>
    </row>
    <row r="42" spans="12:81" x14ac:dyDescent="0.25">
      <c r="L42" s="60"/>
      <c r="W42" s="60"/>
      <c r="BG42" s="60"/>
    </row>
    <row r="43" spans="12:81" x14ac:dyDescent="0.25">
      <c r="L43" s="60"/>
      <c r="W43" s="60"/>
      <c r="BG43" s="60"/>
    </row>
    <row r="44" spans="12:81" x14ac:dyDescent="0.25">
      <c r="L44" s="60"/>
      <c r="W44" s="60"/>
      <c r="BG44" s="60"/>
    </row>
    <row r="45" spans="12:81" x14ac:dyDescent="0.25">
      <c r="L45" s="60"/>
      <c r="W45" s="60"/>
      <c r="BG45" s="60"/>
    </row>
    <row r="46" spans="12:81" x14ac:dyDescent="0.25">
      <c r="L46" s="60"/>
      <c r="W46" s="60"/>
      <c r="BG46" s="60"/>
    </row>
    <row r="47" spans="12:81" x14ac:dyDescent="0.25">
      <c r="L47" s="60"/>
      <c r="W47" s="60"/>
      <c r="BG47" s="60"/>
    </row>
    <row r="48" spans="12:81" x14ac:dyDescent="0.25">
      <c r="L48" s="60"/>
      <c r="W48" s="60"/>
      <c r="BG48" s="60"/>
    </row>
    <row r="49" spans="12:59" x14ac:dyDescent="0.25">
      <c r="L49" s="60"/>
      <c r="W49" s="60"/>
      <c r="BG49" s="60"/>
    </row>
    <row r="50" spans="12:59" x14ac:dyDescent="0.25">
      <c r="L50" s="60"/>
      <c r="W50" s="60"/>
      <c r="BG50" s="60"/>
    </row>
    <row r="51" spans="12:59" x14ac:dyDescent="0.25">
      <c r="L51" s="60"/>
      <c r="W51" s="60"/>
      <c r="BG51" s="60"/>
    </row>
    <row r="52" spans="12:59" x14ac:dyDescent="0.25">
      <c r="L52" s="60"/>
      <c r="W52" s="60"/>
      <c r="BG52" s="60"/>
    </row>
    <row r="53" spans="12:59" x14ac:dyDescent="0.25">
      <c r="L53" s="60"/>
      <c r="W53" s="60"/>
      <c r="BG53" s="60"/>
    </row>
    <row r="54" spans="12:59" x14ac:dyDescent="0.25">
      <c r="L54" s="60"/>
      <c r="W54" s="60"/>
      <c r="BG54" s="60"/>
    </row>
    <row r="55" spans="12:59" x14ac:dyDescent="0.25">
      <c r="L55" s="60"/>
      <c r="W55" s="60"/>
      <c r="BG55" s="60"/>
    </row>
    <row r="56" spans="12:59" x14ac:dyDescent="0.25">
      <c r="L56" s="60"/>
      <c r="W56" s="60"/>
      <c r="BG56" s="60"/>
    </row>
    <row r="57" spans="12:59" x14ac:dyDescent="0.25">
      <c r="L57" s="60"/>
      <c r="W57" s="60"/>
      <c r="BG57" s="60"/>
    </row>
    <row r="58" spans="12:59" x14ac:dyDescent="0.25">
      <c r="L58" s="60"/>
      <c r="W58" s="60"/>
      <c r="BG58" s="60"/>
    </row>
    <row r="59" spans="12:59" x14ac:dyDescent="0.25">
      <c r="L59" s="60"/>
      <c r="W59" s="60"/>
      <c r="BG59" s="60"/>
    </row>
    <row r="60" spans="12:59" x14ac:dyDescent="0.25">
      <c r="L60" s="60"/>
      <c r="W60" s="60"/>
      <c r="BG60" s="60"/>
    </row>
    <row r="61" spans="12:59" x14ac:dyDescent="0.25">
      <c r="L61" s="60"/>
      <c r="W61" s="60"/>
      <c r="BG61" s="60"/>
    </row>
    <row r="62" spans="12:59" x14ac:dyDescent="0.25">
      <c r="L62" s="60"/>
      <c r="W62" s="60"/>
      <c r="BG62" s="60"/>
    </row>
    <row r="63" spans="12:59" x14ac:dyDescent="0.25">
      <c r="L63" s="60"/>
      <c r="W63" s="60"/>
      <c r="BG63" s="60"/>
    </row>
    <row r="64" spans="12:59" x14ac:dyDescent="0.25">
      <c r="L64" s="60"/>
      <c r="W64" s="60"/>
      <c r="BG64" s="60"/>
    </row>
    <row r="65" spans="1:81" ht="26.25" x14ac:dyDescent="0.4">
      <c r="L65" s="60"/>
      <c r="W65" s="60"/>
      <c r="BG65" s="60"/>
      <c r="CA65" s="61"/>
      <c r="CB65" s="61"/>
      <c r="CC65" s="149" t="s">
        <v>251</v>
      </c>
    </row>
    <row r="66" spans="1:81" x14ac:dyDescent="0.25">
      <c r="L66" s="60"/>
      <c r="W66" s="60"/>
      <c r="BG66" s="60"/>
    </row>
    <row r="67" spans="1:81" x14ac:dyDescent="0.25">
      <c r="L67" s="60"/>
      <c r="W67" s="60"/>
      <c r="BG67" s="60"/>
    </row>
    <row r="68" spans="1:81" x14ac:dyDescent="0.25">
      <c r="L68" s="60"/>
      <c r="W68" s="60"/>
      <c r="BG68" s="60"/>
    </row>
    <row r="69" spans="1:81" x14ac:dyDescent="0.25">
      <c r="L69" s="60"/>
      <c r="W69" s="60"/>
      <c r="BG69" s="60"/>
    </row>
    <row r="70" spans="1:81" x14ac:dyDescent="0.25">
      <c r="L70" s="60"/>
      <c r="W70" s="60"/>
      <c r="BG70" s="60"/>
    </row>
    <row r="71" spans="1:81" x14ac:dyDescent="0.25">
      <c r="L71" s="60"/>
      <c r="W71" s="60"/>
      <c r="BG71" s="60"/>
    </row>
    <row r="72" spans="1:81" x14ac:dyDescent="0.25">
      <c r="L72" s="60"/>
      <c r="W72" s="60"/>
      <c r="BG72" s="60"/>
    </row>
    <row r="73" spans="1:81" x14ac:dyDescent="0.25">
      <c r="L73" s="60"/>
      <c r="W73" s="60"/>
      <c r="BG73" s="60"/>
    </row>
    <row r="74" spans="1:81" x14ac:dyDescent="0.25">
      <c r="L74" s="60"/>
      <c r="W74" s="60"/>
      <c r="BG74" s="60"/>
    </row>
    <row r="75" spans="1:81" x14ac:dyDescent="0.25">
      <c r="L75" s="60"/>
      <c r="W75" s="60"/>
      <c r="BG75" s="60"/>
    </row>
    <row r="76" spans="1:81" x14ac:dyDescent="0.25">
      <c r="L76" s="60"/>
      <c r="W76" s="60"/>
      <c r="BG76" s="60"/>
    </row>
    <row r="77" spans="1:81" x14ac:dyDescent="0.25">
      <c r="L77" s="60"/>
      <c r="W77" s="60"/>
      <c r="BG77" s="60"/>
    </row>
    <row r="78" spans="1:81" x14ac:dyDescent="0.25">
      <c r="A78" s="61"/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74"/>
      <c r="M78" s="61"/>
      <c r="N78" s="61"/>
      <c r="O78" s="61"/>
      <c r="P78" s="61"/>
      <c r="Q78" s="63"/>
      <c r="R78" s="61"/>
      <c r="S78" s="61"/>
      <c r="T78" s="61"/>
      <c r="U78" s="61"/>
      <c r="V78" s="61"/>
      <c r="W78" s="74"/>
      <c r="X78" s="73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BG78" s="60"/>
    </row>
    <row r="79" spans="1:81" ht="31.5" customHeight="1" x14ac:dyDescent="0.5">
      <c r="D79" s="284" t="s">
        <v>115</v>
      </c>
      <c r="E79" s="284"/>
      <c r="F79" s="284"/>
      <c r="G79" s="284"/>
      <c r="K79" s="58"/>
      <c r="L79" s="62"/>
      <c r="O79" s="285" t="s">
        <v>116</v>
      </c>
      <c r="P79" s="285"/>
      <c r="Q79" s="285"/>
      <c r="R79" s="285"/>
      <c r="S79" s="285"/>
      <c r="BG79" s="60"/>
    </row>
    <row r="80" spans="1:81" x14ac:dyDescent="0.25">
      <c r="K80" s="58"/>
      <c r="L80" s="60"/>
      <c r="BG80" s="60"/>
    </row>
    <row r="81" spans="11:59" x14ac:dyDescent="0.25">
      <c r="K81" s="58"/>
      <c r="L81" s="60"/>
      <c r="BG81" s="60"/>
    </row>
    <row r="82" spans="11:59" x14ac:dyDescent="0.25">
      <c r="K82" s="58"/>
      <c r="L82" s="60"/>
      <c r="BG82" s="60"/>
    </row>
    <row r="83" spans="11:59" x14ac:dyDescent="0.25">
      <c r="K83" s="58"/>
      <c r="L83" s="60"/>
      <c r="BG83" s="60"/>
    </row>
    <row r="84" spans="11:59" x14ac:dyDescent="0.25">
      <c r="K84" s="58"/>
      <c r="L84" s="60"/>
      <c r="BG84" s="60"/>
    </row>
    <row r="85" spans="11:59" x14ac:dyDescent="0.25">
      <c r="K85" s="58"/>
      <c r="L85" s="60"/>
      <c r="BG85" s="60"/>
    </row>
    <row r="86" spans="11:59" x14ac:dyDescent="0.25">
      <c r="K86" s="58"/>
      <c r="L86" s="60"/>
      <c r="BG86" s="60"/>
    </row>
    <row r="87" spans="11:59" x14ac:dyDescent="0.25">
      <c r="K87" s="58"/>
      <c r="L87" s="60"/>
      <c r="BG87" s="60"/>
    </row>
    <row r="88" spans="11:59" x14ac:dyDescent="0.25">
      <c r="K88" s="58"/>
      <c r="L88" s="60"/>
      <c r="BG88" s="60"/>
    </row>
    <row r="89" spans="11:59" x14ac:dyDescent="0.25">
      <c r="K89" s="58"/>
      <c r="L89" s="60"/>
      <c r="BG89" s="60"/>
    </row>
    <row r="90" spans="11:59" x14ac:dyDescent="0.25">
      <c r="K90" s="58"/>
      <c r="L90" s="60"/>
    </row>
    <row r="91" spans="11:59" x14ac:dyDescent="0.25">
      <c r="K91" s="58"/>
      <c r="L91" s="60"/>
    </row>
    <row r="92" spans="11:59" x14ac:dyDescent="0.25">
      <c r="K92" s="58"/>
      <c r="L92" s="60"/>
    </row>
    <row r="93" spans="11:59" x14ac:dyDescent="0.25">
      <c r="K93" s="58"/>
      <c r="L93" s="60"/>
    </row>
    <row r="94" spans="11:59" x14ac:dyDescent="0.25">
      <c r="K94" s="58"/>
      <c r="L94" s="60"/>
    </row>
    <row r="95" spans="11:59" x14ac:dyDescent="0.25">
      <c r="K95" s="58"/>
      <c r="L95" s="60"/>
    </row>
    <row r="96" spans="11:59" x14ac:dyDescent="0.25">
      <c r="K96" s="58"/>
      <c r="L96" s="60"/>
    </row>
    <row r="97" spans="3:20" x14ac:dyDescent="0.25">
      <c r="K97" s="58"/>
      <c r="L97" s="60"/>
    </row>
    <row r="98" spans="3:20" x14ac:dyDescent="0.25">
      <c r="K98" s="58"/>
      <c r="L98" s="60"/>
    </row>
    <row r="99" spans="3:20" x14ac:dyDescent="0.25">
      <c r="K99" s="58"/>
      <c r="L99" s="60"/>
    </row>
    <row r="100" spans="3:20" x14ac:dyDescent="0.25">
      <c r="K100" s="58"/>
      <c r="L100" s="60"/>
    </row>
    <row r="101" spans="3:20" x14ac:dyDescent="0.25">
      <c r="K101" s="58"/>
      <c r="L101" s="60"/>
    </row>
    <row r="102" spans="3:20" x14ac:dyDescent="0.25">
      <c r="K102" s="58"/>
      <c r="L102" s="60"/>
    </row>
    <row r="103" spans="3:20" x14ac:dyDescent="0.25">
      <c r="K103" s="58"/>
      <c r="L103" s="60"/>
    </row>
    <row r="104" spans="3:20" x14ac:dyDescent="0.25">
      <c r="K104" s="58"/>
      <c r="L104" s="60"/>
    </row>
    <row r="105" spans="3:20" x14ac:dyDescent="0.25">
      <c r="K105" s="58"/>
      <c r="L105" s="60"/>
      <c r="Q105" s="58"/>
      <c r="R105" s="58"/>
      <c r="S105" s="58"/>
      <c r="T105" s="58"/>
    </row>
    <row r="106" spans="3:20" x14ac:dyDescent="0.25">
      <c r="K106" s="58"/>
      <c r="L106" s="60"/>
      <c r="Q106" s="58"/>
      <c r="R106" s="58"/>
      <c r="S106" s="58"/>
      <c r="T106" s="58"/>
    </row>
    <row r="107" spans="3:20" ht="31.5" x14ac:dyDescent="0.5">
      <c r="E107" s="286" t="s">
        <v>184</v>
      </c>
      <c r="F107" s="286"/>
      <c r="G107" s="286"/>
      <c r="H107" s="286"/>
      <c r="K107" s="58"/>
      <c r="L107" s="60"/>
      <c r="P107" s="246" t="s">
        <v>183</v>
      </c>
      <c r="Q107" s="246"/>
      <c r="R107" s="246"/>
      <c r="S107" s="246"/>
      <c r="T107" s="246"/>
    </row>
    <row r="108" spans="3:20" ht="23.25" x14ac:dyDescent="0.35">
      <c r="C108" s="297" t="s">
        <v>128</v>
      </c>
      <c r="D108" s="298"/>
      <c r="F108" s="295" t="s">
        <v>46</v>
      </c>
      <c r="G108" s="296"/>
      <c r="H108" s="296"/>
      <c r="I108" s="296"/>
      <c r="K108" s="58"/>
      <c r="L108" s="60"/>
      <c r="M108" s="297" t="s">
        <v>128</v>
      </c>
      <c r="N108" s="298"/>
      <c r="P108" s="295" t="s">
        <v>46</v>
      </c>
      <c r="Q108" s="296"/>
      <c r="R108" s="296"/>
      <c r="S108" s="296"/>
    </row>
    <row r="109" spans="3:20" ht="39.75" customHeight="1" x14ac:dyDescent="0.3">
      <c r="F109" s="102" t="s">
        <v>117</v>
      </c>
      <c r="G109">
        <f>+(D111)/((D112)*(D113))</f>
        <v>0.27500000000000002</v>
      </c>
      <c r="K109" s="58"/>
      <c r="L109" s="60"/>
      <c r="T109" t="s">
        <v>166</v>
      </c>
    </row>
    <row r="110" spans="3:20" ht="18.75" x14ac:dyDescent="0.3">
      <c r="F110" s="102" t="s">
        <v>91</v>
      </c>
      <c r="G110">
        <f>ROUND(ACOS(G109)*180/PI(),3)</f>
        <v>74.037999999999997</v>
      </c>
      <c r="K110" s="58"/>
      <c r="L110" s="60"/>
      <c r="P110" s="102" t="s">
        <v>117</v>
      </c>
      <c r="Q110">
        <f>+(N111)/((N112)*(N113))</f>
        <v>0.54545454545454541</v>
      </c>
      <c r="R110" s="101" t="s">
        <v>163</v>
      </c>
      <c r="S110">
        <f>N115/N116</f>
        <v>27.5</v>
      </c>
      <c r="T110" t="str">
        <f>IF(S110&lt;S111,"at","bt")</f>
        <v>at</v>
      </c>
    </row>
    <row r="111" spans="3:20" ht="52.5" customHeight="1" x14ac:dyDescent="0.4">
      <c r="C111" s="106" t="s">
        <v>129</v>
      </c>
      <c r="D111" s="104">
        <v>110</v>
      </c>
      <c r="F111" s="102" t="s">
        <v>134</v>
      </c>
      <c r="G111">
        <f>ROUND(D113*COS(RADIANS(G110)),3)</f>
        <v>0.55000000000000004</v>
      </c>
      <c r="K111" s="58"/>
      <c r="L111" s="60"/>
      <c r="M111" s="105" t="s">
        <v>118</v>
      </c>
      <c r="N111" s="103">
        <v>300</v>
      </c>
      <c r="P111" s="102" t="s">
        <v>91</v>
      </c>
      <c r="Q111">
        <f>ROUND(ACOS(Q110)*180/PI(),3)</f>
        <v>56.944000000000003</v>
      </c>
      <c r="R111" s="101" t="s">
        <v>164</v>
      </c>
      <c r="S111">
        <f>N115/N117</f>
        <v>55</v>
      </c>
      <c r="T111" t="str">
        <f>IF(S111&lt;S110,"at","bt")</f>
        <v>bt</v>
      </c>
    </row>
    <row r="112" spans="3:20" ht="62.25" customHeight="1" x14ac:dyDescent="0.4">
      <c r="C112" s="106" t="s">
        <v>130</v>
      </c>
      <c r="D112" s="104">
        <v>200</v>
      </c>
      <c r="F112" s="102" t="s">
        <v>135</v>
      </c>
      <c r="G112">
        <f>ROUND(D113*(SIN(RADIANS(G110))),3)</f>
        <v>1.923</v>
      </c>
      <c r="K112" s="58"/>
      <c r="L112" s="60"/>
      <c r="M112" s="105" t="s">
        <v>119</v>
      </c>
      <c r="N112" s="103">
        <v>20</v>
      </c>
      <c r="P112" s="102" t="s">
        <v>121</v>
      </c>
      <c r="Q112">
        <f>(N112)/(N113)</f>
        <v>0.72727272727272729</v>
      </c>
      <c r="R112" s="27"/>
      <c r="S112" s="27"/>
    </row>
    <row r="113" spans="1:26" ht="57.75" customHeight="1" x14ac:dyDescent="0.4">
      <c r="C113" s="106" t="s">
        <v>131</v>
      </c>
      <c r="D113" s="104">
        <v>2</v>
      </c>
      <c r="F113" s="102" t="s">
        <v>132</v>
      </c>
      <c r="G113">
        <f>D112/(G111)</f>
        <v>363.63636363636363</v>
      </c>
      <c r="K113" s="58"/>
      <c r="L113" s="60"/>
      <c r="M113" s="105" t="s">
        <v>120</v>
      </c>
      <c r="N113" s="103">
        <v>27.5</v>
      </c>
      <c r="P113" s="102" t="s">
        <v>167</v>
      </c>
      <c r="Q113">
        <f>(N111)/((N113)*(N113))</f>
        <v>0.39669421487603307</v>
      </c>
    </row>
    <row r="114" spans="1:26" ht="57.75" customHeight="1" x14ac:dyDescent="0.35">
      <c r="C114" s="289" t="s">
        <v>127</v>
      </c>
      <c r="D114" s="301">
        <f>400/200</f>
        <v>2</v>
      </c>
      <c r="F114" s="102" t="s">
        <v>133</v>
      </c>
      <c r="G114">
        <f>D112/(G112)</f>
        <v>104.00416016640665</v>
      </c>
      <c r="K114" s="58"/>
      <c r="L114" s="60"/>
      <c r="M114" s="105" t="s">
        <v>127</v>
      </c>
      <c r="N114" s="103">
        <f>400/200</f>
        <v>2</v>
      </c>
      <c r="P114" s="102" t="s">
        <v>168</v>
      </c>
      <c r="Q114">
        <f>Q112*(SIN(RADIANS(Q111)))</f>
        <v>0.60955479691733283</v>
      </c>
    </row>
    <row r="115" spans="1:26" ht="52.5" customHeight="1" x14ac:dyDescent="0.35">
      <c r="C115" s="289"/>
      <c r="D115" s="302"/>
      <c r="F115" s="70"/>
      <c r="K115" s="58"/>
      <c r="L115" s="60"/>
      <c r="M115" s="105" t="s">
        <v>165</v>
      </c>
      <c r="N115" s="103">
        <f>11*1000</f>
        <v>11000</v>
      </c>
      <c r="O115" s="64"/>
      <c r="U115" s="112"/>
      <c r="V115" s="113"/>
      <c r="W115" s="113"/>
      <c r="X115" s="113"/>
      <c r="Y115" s="113"/>
    </row>
    <row r="116" spans="1:26" ht="51.75" customHeight="1" x14ac:dyDescent="0.5">
      <c r="C116" s="151" t="s">
        <v>172</v>
      </c>
      <c r="D116" s="104">
        <v>400</v>
      </c>
      <c r="F116" s="98"/>
      <c r="G116" s="99" t="s">
        <v>123</v>
      </c>
      <c r="H116" s="99" t="s">
        <v>124</v>
      </c>
      <c r="I116" s="66"/>
      <c r="K116" s="58"/>
      <c r="L116" s="60"/>
      <c r="M116" s="105" t="s">
        <v>174</v>
      </c>
      <c r="N116" s="103">
        <v>400</v>
      </c>
      <c r="P116" s="100"/>
      <c r="Q116" s="100" t="s">
        <v>123</v>
      </c>
      <c r="R116" s="247" t="s">
        <v>124</v>
      </c>
      <c r="S116" s="247"/>
      <c r="U116" s="57"/>
      <c r="V116" s="57" t="s">
        <v>169</v>
      </c>
      <c r="W116" s="57" t="s">
        <v>122</v>
      </c>
      <c r="X116" s="57"/>
      <c r="Y116" s="113"/>
    </row>
    <row r="117" spans="1:26" ht="58.5" customHeight="1" x14ac:dyDescent="0.5">
      <c r="C117" s="151" t="s">
        <v>173</v>
      </c>
      <c r="D117" s="104">
        <v>200</v>
      </c>
      <c r="F117" s="98" t="s">
        <v>132</v>
      </c>
      <c r="G117" s="65" t="str">
        <f>IF(G120="at",CONCATENATE("Rp=",G113," ohm"),IF(G120="bt",CONCATENATE("Rp=",((G113)*((D114)*(D114)))," ohm"),"coloque tipo de dato"))</f>
        <v>Rp=1454,54545454545 ohm</v>
      </c>
      <c r="H117" s="65" t="str">
        <f>IF(G120="at",CONCATENATE("Rp=",(G113/((D114)*(D114)))," ohm"),IF(G120="bt",CONCATENATE("Rp=",G113," ohm"),"coloque tipo de dato"))</f>
        <v>Rp=363,636363636364 ohm</v>
      </c>
      <c r="I117" s="66"/>
      <c r="K117" s="58"/>
      <c r="L117" s="60"/>
      <c r="M117" s="105" t="s">
        <v>175</v>
      </c>
      <c r="N117" s="103">
        <v>200</v>
      </c>
      <c r="P117" s="100" t="s">
        <v>126</v>
      </c>
      <c r="Q117" s="65" t="str">
        <f>IF(Q120="at",CONCATENATE("Requi.=",Q113," ohm"),IF(Q120="bt",CONCATENATE("Rp=",((Q113)*((N114)*(N114)))," ohm"),"coloque tipo de dato"))</f>
        <v>Requi.=0,396694214876033 ohm</v>
      </c>
      <c r="R117" s="65" t="str">
        <f>IF(Q120="at",CONCATENATE("Requi.=",(Q113/((N114)*(N114)))," ohm"),IF(Q120="bt",CONCATENATE("Requi.=",Q113," ohm"),"coloque tipo de dato"))</f>
        <v>Requi.=0,0991735537190083 ohm</v>
      </c>
      <c r="S117" s="66"/>
      <c r="T117" s="31"/>
      <c r="U117" s="57" t="s">
        <v>179</v>
      </c>
      <c r="V117" s="57">
        <f>IF(Q120="at",Q113,IF(Q120="bt",((Q113)*((N114)*(N114))),"coloque tipo de dato"))</f>
        <v>0.39669421487603307</v>
      </c>
      <c r="W117" s="57">
        <f>IF(Q120="at",(Q113/((N114)*(N114))),IF(Q120="bt",Q113,"coloque tipo de dato"))</f>
        <v>9.9173553719008267E-2</v>
      </c>
      <c r="X117" s="57"/>
      <c r="Y117" s="113"/>
    </row>
    <row r="118" spans="1:26" ht="60.75" customHeight="1" x14ac:dyDescent="0.5">
      <c r="C118" s="107" t="s">
        <v>185</v>
      </c>
      <c r="D118" s="108">
        <f>11*1000</f>
        <v>11000</v>
      </c>
      <c r="F118" s="98" t="s">
        <v>133</v>
      </c>
      <c r="G118" s="65" t="str">
        <f>IF(G120="at",CONCATENATE("Xm=",G114," ohm"),IF(G120="bt",CONCATENATE("Xm=",((G114)*((D114)*(D114)))," ohm"),"coloque tipo de dato"))</f>
        <v>Xm=416,016640665627 ohm</v>
      </c>
      <c r="H118" s="65" t="str">
        <f>IF(G120="at",CONCATENATE("Xm=",(G114/((D114)*(D114)))," ohm"),IF(G120="bt",CONCATENATE("Xm=",G114," ohm"),"coloque tipo de dato"))</f>
        <v>Xm=104,004160166407 ohm</v>
      </c>
      <c r="I118" s="66"/>
      <c r="K118" s="58"/>
      <c r="L118" s="60"/>
      <c r="P118" s="100" t="s">
        <v>125</v>
      </c>
      <c r="Q118" s="65" t="str">
        <f>IF(Q120="at",CONCATENATE("Xequi.=",Q114," ohm"),IF(Q120="bt",CONCATENATE("Xequi.",((Q114)*((N114)*(N114)))," ohm"),"coloque tipo de dato"))</f>
        <v>Xequi.=0,609554796917333 ohm</v>
      </c>
      <c r="R118" s="65" t="str">
        <f>IF(Q120="at",CONCATENATE("Xequi.=",(Q114/((N114)*(N114)))," ohm"),IF(Q120="bt",CONCATENATE("Xequi.=",(Q114)," ohm"),"coloque tipo de dato"))</f>
        <v>Xequi.=0,152388699229333 ohm</v>
      </c>
      <c r="S118" s="66"/>
      <c r="T118" s="31"/>
      <c r="U118" s="57" t="s">
        <v>178</v>
      </c>
      <c r="V118" s="57">
        <f>IF(Q120="at",Q114,IF(Q120="bt",((Q114)*((N114)*(N114))),"coloque tipo de dato"))</f>
        <v>0.60955479691733283</v>
      </c>
      <c r="W118" s="57">
        <f>IF(Q120="at",(Q114/((N114)*(N114))),IF(Q120="bt",(Q114),"coloque tipo de dato"))</f>
        <v>0.15238869922933321</v>
      </c>
      <c r="X118" s="124"/>
      <c r="Y118" s="113"/>
    </row>
    <row r="119" spans="1:26" ht="21" x14ac:dyDescent="0.35">
      <c r="K119" s="58"/>
      <c r="L119" s="60"/>
      <c r="P119" s="64"/>
      <c r="Q119" s="64"/>
      <c r="R119" s="64"/>
      <c r="U119" s="112"/>
      <c r="V119" s="113"/>
      <c r="W119" s="113"/>
      <c r="X119" s="126"/>
      <c r="Y119" s="113"/>
    </row>
    <row r="120" spans="1:26" ht="77.25" customHeight="1" x14ac:dyDescent="0.5">
      <c r="F120" s="79" t="s">
        <v>171</v>
      </c>
      <c r="G120" s="91" t="str">
        <f>IF(D116=0,"coloque Vn1",IF(D117=0,"coloque Vn2",IF(D116=D112,"at",IF(D117=D112,"bt","no estan bien los datos"))))</f>
        <v>bt</v>
      </c>
      <c r="I120" s="294" t="s">
        <v>209</v>
      </c>
      <c r="J120" s="294"/>
      <c r="K120" s="294"/>
      <c r="L120" s="60"/>
      <c r="P120" s="78" t="s">
        <v>171</v>
      </c>
      <c r="Q120" s="92" t="str">
        <f>IF(N116=0,"coloque Vn1",IF(N117=0,"coloque Vn2",IF(N115=0,"coloque Sn",IF(N115/N116=N113,"at",IF(N115/N117=N113,"bt","no estan bien los datos")))))</f>
        <v>at</v>
      </c>
      <c r="U120" s="112"/>
      <c r="V120" s="113"/>
      <c r="W120" s="113"/>
      <c r="X120" s="125"/>
      <c r="Y120" s="113"/>
    </row>
    <row r="121" spans="1:26" x14ac:dyDescent="0.25">
      <c r="K121" s="58"/>
      <c r="L121" s="60"/>
    </row>
    <row r="122" spans="1:26" x14ac:dyDescent="0.25">
      <c r="K122" s="58"/>
      <c r="L122" s="60"/>
      <c r="M122" s="58"/>
      <c r="N122" s="58"/>
    </row>
    <row r="123" spans="1:26" x14ac:dyDescent="0.25">
      <c r="K123" s="58"/>
      <c r="L123" s="60"/>
      <c r="M123" s="58"/>
      <c r="N123" s="58"/>
      <c r="O123" s="58"/>
    </row>
    <row r="124" spans="1:26" x14ac:dyDescent="0.25">
      <c r="K124" s="58"/>
      <c r="L124" s="60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</row>
    <row r="125" spans="1:26" x14ac:dyDescent="0.25">
      <c r="A125" s="61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74"/>
      <c r="M125" s="73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</row>
    <row r="126" spans="1:26" ht="31.5" x14ac:dyDescent="0.5">
      <c r="E126" s="285" t="s">
        <v>136</v>
      </c>
      <c r="F126" s="285"/>
      <c r="G126" s="285"/>
      <c r="K126" s="58"/>
      <c r="L126" s="60"/>
      <c r="O126" s="248" t="s">
        <v>143</v>
      </c>
      <c r="P126" s="248"/>
      <c r="Q126" s="248"/>
      <c r="R126" s="90"/>
    </row>
    <row r="127" spans="1:26" x14ac:dyDescent="0.25">
      <c r="K127" s="58"/>
      <c r="L127" s="60"/>
      <c r="O127" s="287" t="s">
        <v>128</v>
      </c>
      <c r="P127" s="287"/>
      <c r="Q127" s="287"/>
    </row>
    <row r="128" spans="1:26" x14ac:dyDescent="0.25">
      <c r="K128" s="58"/>
      <c r="L128" s="60"/>
      <c r="O128" s="288"/>
      <c r="P128" s="288"/>
      <c r="Q128" s="288"/>
    </row>
    <row r="129" spans="3:23" ht="15" customHeight="1" x14ac:dyDescent="0.25">
      <c r="K129" s="58"/>
      <c r="L129" s="60"/>
      <c r="O129" s="89"/>
      <c r="P129" s="89"/>
      <c r="Q129" s="80"/>
    </row>
    <row r="130" spans="3:23" ht="51.75" customHeight="1" x14ac:dyDescent="0.25">
      <c r="K130" s="58"/>
      <c r="L130" s="60"/>
      <c r="N130" s="89"/>
      <c r="O130" s="89"/>
      <c r="P130" s="89"/>
      <c r="Q130" s="80"/>
    </row>
    <row r="131" spans="3:23" ht="43.5" customHeight="1" x14ac:dyDescent="0.25">
      <c r="C131" s="305" t="s">
        <v>128</v>
      </c>
      <c r="D131" s="305"/>
      <c r="E131" s="305"/>
      <c r="K131" s="58"/>
      <c r="L131" s="60"/>
      <c r="N131" s="89"/>
      <c r="O131" s="289" t="s">
        <v>177</v>
      </c>
      <c r="P131" s="289"/>
      <c r="Q131" s="290" t="s">
        <v>122</v>
      </c>
    </row>
    <row r="132" spans="3:23" ht="15" customHeight="1" x14ac:dyDescent="0.25">
      <c r="C132" s="305"/>
      <c r="D132" s="305"/>
      <c r="E132" s="305"/>
      <c r="K132" s="58"/>
      <c r="L132" s="60"/>
      <c r="O132" s="289"/>
      <c r="P132" s="289"/>
      <c r="Q132" s="290"/>
    </row>
    <row r="133" spans="3:23" ht="15" customHeight="1" x14ac:dyDescent="0.25">
      <c r="C133" s="305"/>
      <c r="D133" s="305"/>
      <c r="E133" s="305"/>
      <c r="L133" s="60"/>
      <c r="O133" s="289"/>
      <c r="P133" s="289"/>
      <c r="Q133" s="290"/>
    </row>
    <row r="134" spans="3:23" x14ac:dyDescent="0.25">
      <c r="C134" s="305"/>
      <c r="D134" s="305"/>
      <c r="E134" s="305"/>
      <c r="L134" s="60"/>
      <c r="O134" s="291" t="s">
        <v>180</v>
      </c>
      <c r="Q134" s="60"/>
    </row>
    <row r="135" spans="3:23" x14ac:dyDescent="0.25">
      <c r="L135" s="60"/>
      <c r="O135" s="292"/>
      <c r="Q135" s="60"/>
    </row>
    <row r="136" spans="3:23" x14ac:dyDescent="0.25">
      <c r="L136" s="60"/>
      <c r="O136" s="292"/>
      <c r="P136" s="58"/>
      <c r="Q136" s="88"/>
    </row>
    <row r="137" spans="3:23" ht="18.75" customHeight="1" x14ac:dyDescent="0.25">
      <c r="C137" s="109"/>
      <c r="D137" s="109"/>
      <c r="E137" s="109"/>
      <c r="L137" s="60"/>
      <c r="O137" s="293"/>
      <c r="P137" s="83"/>
      <c r="Q137" s="87"/>
    </row>
    <row r="138" spans="3:23" ht="18.75" customHeight="1" x14ac:dyDescent="0.25">
      <c r="C138" s="233" t="s">
        <v>224</v>
      </c>
      <c r="D138" s="254" t="s">
        <v>122</v>
      </c>
      <c r="E138" s="254"/>
      <c r="L138" s="60"/>
      <c r="O138" s="242" t="s">
        <v>176</v>
      </c>
      <c r="P138" s="82"/>
      <c r="Q138" s="86"/>
    </row>
    <row r="139" spans="3:23" ht="35.25" customHeight="1" x14ac:dyDescent="0.25">
      <c r="C139" s="233"/>
      <c r="D139" s="254"/>
      <c r="E139" s="254"/>
      <c r="L139" s="60"/>
      <c r="O139" s="243"/>
      <c r="P139" s="80"/>
      <c r="Q139" s="85"/>
    </row>
    <row r="140" spans="3:23" ht="36" customHeight="1" x14ac:dyDescent="0.3">
      <c r="C140" s="233"/>
      <c r="D140" s="254"/>
      <c r="E140" s="254"/>
      <c r="L140" s="60"/>
      <c r="O140" s="244"/>
      <c r="P140" s="81"/>
      <c r="Q140" s="84"/>
    </row>
    <row r="141" spans="3:23" ht="18.75" customHeight="1" x14ac:dyDescent="0.25">
      <c r="C141" s="233"/>
      <c r="D141" s="254"/>
      <c r="E141" s="254"/>
      <c r="L141" s="60"/>
      <c r="O141" s="283" t="s">
        <v>162</v>
      </c>
      <c r="P141" s="262">
        <f>+N115</f>
        <v>11000</v>
      </c>
      <c r="Q141" s="262"/>
    </row>
    <row r="142" spans="3:23" ht="81.75" customHeight="1" x14ac:dyDescent="0.25">
      <c r="C142" s="150" t="s">
        <v>186</v>
      </c>
      <c r="D142" s="111"/>
      <c r="E142" s="111"/>
      <c r="L142" s="60"/>
      <c r="O142" s="283"/>
      <c r="P142" s="262"/>
      <c r="Q142" s="262"/>
      <c r="R142" t="str">
        <f>+""</f>
        <v/>
      </c>
    </row>
    <row r="143" spans="3:23" ht="29.25" customHeight="1" x14ac:dyDescent="0.5">
      <c r="C143" s="233" t="s">
        <v>176</v>
      </c>
      <c r="D143" s="221"/>
      <c r="E143" s="221"/>
      <c r="F143" s="12"/>
      <c r="G143" s="304" t="s">
        <v>46</v>
      </c>
      <c r="H143" s="304"/>
      <c r="I143" s="304"/>
      <c r="L143" s="60"/>
      <c r="O143" s="233" t="s">
        <v>148</v>
      </c>
      <c r="P143" s="249">
        <f>+D117</f>
        <v>200</v>
      </c>
      <c r="Q143" s="249"/>
      <c r="R143" t="str">
        <f>+""</f>
        <v/>
      </c>
      <c r="T143" s="227" t="s">
        <v>46</v>
      </c>
      <c r="U143" s="227"/>
      <c r="V143" s="227"/>
      <c r="W143" s="227"/>
    </row>
    <row r="144" spans="3:23" ht="48.75" customHeight="1" x14ac:dyDescent="0.25">
      <c r="C144" s="233"/>
      <c r="D144" s="221"/>
      <c r="E144" s="221"/>
      <c r="G144" s="72"/>
      <c r="H144" s="72"/>
      <c r="I144" s="72"/>
      <c r="J144" s="58"/>
      <c r="L144" s="60"/>
      <c r="O144" s="233"/>
      <c r="P144" s="249"/>
      <c r="Q144" s="249"/>
      <c r="T144" s="71"/>
      <c r="U144" s="71"/>
      <c r="V144" s="71"/>
      <c r="W144" s="71"/>
    </row>
    <row r="145" spans="3:40" ht="93.75" customHeight="1" x14ac:dyDescent="0.7">
      <c r="C145" s="110" t="s">
        <v>157</v>
      </c>
      <c r="D145" s="300">
        <f>+D117</f>
        <v>200</v>
      </c>
      <c r="E145" s="300"/>
      <c r="F145" t="str">
        <f>+""</f>
        <v/>
      </c>
      <c r="G145" s="303" t="str">
        <f>CONCATENATE("Reg(%)=",((D145-H150)/(D145))*100,"%")</f>
        <v>Reg(%)=3,43128913992881%</v>
      </c>
      <c r="H145" s="303"/>
      <c r="I145" s="303"/>
      <c r="J145" s="58"/>
      <c r="L145" s="60"/>
      <c r="M145" s="95" t="s">
        <v>170</v>
      </c>
      <c r="O145" s="150" t="s">
        <v>182</v>
      </c>
      <c r="P145" s="249">
        <f>+D111</f>
        <v>110</v>
      </c>
      <c r="Q145" s="249"/>
      <c r="R145" t="str">
        <f>+""</f>
        <v/>
      </c>
      <c r="T145" s="206" t="str">
        <f>CONCATENATE("Rend.= ",ROUND((((W150*W148*P150)/((W150*W148*P150)+P145+W149))*100),4)," %")</f>
        <v>Rend.= 0 %</v>
      </c>
      <c r="U145" s="206"/>
      <c r="V145" s="206"/>
      <c r="W145" s="206"/>
    </row>
    <row r="146" spans="3:40" ht="90.75" customHeight="1" x14ac:dyDescent="0.45">
      <c r="C146" s="150" t="s">
        <v>156</v>
      </c>
      <c r="D146" s="251">
        <f>+W117</f>
        <v>9.9173553719008267E-2</v>
      </c>
      <c r="E146" s="252"/>
      <c r="F146" t="str">
        <f>+""</f>
        <v/>
      </c>
      <c r="G146" s="58"/>
      <c r="H146" s="58"/>
      <c r="I146" s="58"/>
      <c r="J146" s="58"/>
      <c r="L146" s="60"/>
      <c r="O146" s="150" t="s">
        <v>156</v>
      </c>
      <c r="P146" s="249">
        <f>+W117</f>
        <v>9.9173553719008267E-2</v>
      </c>
      <c r="Q146" s="249"/>
      <c r="R146" t="str">
        <f>+""</f>
        <v/>
      </c>
    </row>
    <row r="147" spans="3:40" ht="72" customHeight="1" x14ac:dyDescent="0.45">
      <c r="C147" s="150" t="s">
        <v>155</v>
      </c>
      <c r="D147" s="251">
        <f>+W118</f>
        <v>0.15238869922933321</v>
      </c>
      <c r="E147" s="252"/>
      <c r="F147" t="str">
        <f>+""</f>
        <v/>
      </c>
      <c r="G147" s="58"/>
      <c r="H147" s="58"/>
      <c r="I147" s="58"/>
      <c r="J147" s="58"/>
      <c r="L147" s="60"/>
      <c r="M147" s="57"/>
      <c r="O147" s="150" t="s">
        <v>155</v>
      </c>
      <c r="P147" s="258">
        <f>+W118</f>
        <v>0.15238869922933321</v>
      </c>
      <c r="Q147" s="259"/>
      <c r="R147" t="str">
        <f>+""</f>
        <v/>
      </c>
      <c r="T147" s="255" t="s">
        <v>139</v>
      </c>
      <c r="U147" s="256"/>
      <c r="V147" s="257"/>
      <c r="W147" s="96">
        <f>IF(P153=1,0,ACOS(P150)*180/PI())</f>
        <v>90</v>
      </c>
    </row>
    <row r="148" spans="3:40" ht="84" customHeight="1" x14ac:dyDescent="0.45">
      <c r="C148" s="150" t="s">
        <v>138</v>
      </c>
      <c r="D148" s="251">
        <v>0.7</v>
      </c>
      <c r="E148" s="252"/>
      <c r="F148" s="58"/>
      <c r="G148" s="97" t="s">
        <v>139</v>
      </c>
      <c r="H148" s="97">
        <f>IF(D153=1,0,ACOS(D148)*180/PI())</f>
        <v>45.572995999194291</v>
      </c>
      <c r="I148" s="58"/>
      <c r="J148" s="58"/>
      <c r="L148" s="60"/>
      <c r="O148" s="93" t="s">
        <v>161</v>
      </c>
      <c r="P148" s="262"/>
      <c r="Q148" s="262"/>
      <c r="T148" s="255" t="s">
        <v>146</v>
      </c>
      <c r="U148" s="256"/>
      <c r="V148" s="257"/>
      <c r="W148" s="96">
        <f>IF(P141&lt;&gt;"",((P141/P143))*(P149/100),IF(P148&lt;&gt;"",P148*(P149/100),"coloque Sn o In"))</f>
        <v>0</v>
      </c>
    </row>
    <row r="149" spans="3:40" ht="104.25" customHeight="1" x14ac:dyDescent="0.45">
      <c r="C149" s="93" t="s">
        <v>153</v>
      </c>
      <c r="D149" s="260">
        <f>+D118</f>
        <v>11000</v>
      </c>
      <c r="E149" s="261"/>
      <c r="F149" s="58" t="str">
        <f>+""</f>
        <v/>
      </c>
      <c r="G149" s="97" t="s">
        <v>142</v>
      </c>
      <c r="H149" s="153">
        <f>IF(D149&lt;&gt;"",((D149/D145))*(D150/100),IF(D154&lt;&gt;"",D154*(D150/100),"coloque valor de Sn o In"))</f>
        <v>38.5</v>
      </c>
      <c r="I149" s="58"/>
      <c r="J149" s="58"/>
      <c r="L149" s="60"/>
      <c r="O149" s="150" t="s">
        <v>187</v>
      </c>
      <c r="P149" s="249"/>
      <c r="Q149" s="249"/>
      <c r="T149" s="255" t="s">
        <v>145</v>
      </c>
      <c r="U149" s="256"/>
      <c r="V149" s="257"/>
      <c r="W149" s="96">
        <f>(P146)*(W148)*(W148)</f>
        <v>0</v>
      </c>
    </row>
    <row r="150" spans="3:40" ht="102" customHeight="1" x14ac:dyDescent="0.4">
      <c r="C150" s="156" t="s">
        <v>141</v>
      </c>
      <c r="D150" s="251">
        <v>70</v>
      </c>
      <c r="E150" s="252"/>
      <c r="F150" s="58"/>
      <c r="G150" s="97" t="s">
        <v>140</v>
      </c>
      <c r="H150" s="153">
        <f>IF(D151=1,D145-H149*(D146*COS(RADIANS(H148))+D147*SIN(RADIANS(H148))),IF(D152=1,D145-H149*(D146*COS(RADIANS(H148))-D147*SIN(RADIANS(H148))),IF(D153=1,D145-H149*(D146*COS(RADIANS(H148))+D147*SIN(RADIANS(H148))),"coloque tipo de carga")))</f>
        <v>193.13742172014238</v>
      </c>
      <c r="I150" s="58"/>
      <c r="J150" s="58"/>
      <c r="L150" s="60"/>
      <c r="O150" s="94" t="s">
        <v>147</v>
      </c>
      <c r="P150" s="254"/>
      <c r="Q150" s="254"/>
      <c r="R150" s="69"/>
      <c r="T150" s="255" t="s">
        <v>149</v>
      </c>
      <c r="U150" s="256"/>
      <c r="V150" s="257"/>
      <c r="W150" s="96">
        <f>IF(P151=1,ROUND(P143-W148*(P146*COS(RADIANS(W147))+P147*SIN(RADIANS(W147))),2),IF(P152=1,ROUND(P143-W148*(P146*COS(RADIANS(W147))-P147*SIN(RADIANS(W147))),2),IF(P153=1,ROUND(P143-W148*(P146*COS(RADIANS(W147))+P147*SIN(RADIANS(W147))),2),"coloque tipo de carga")))</f>
        <v>200</v>
      </c>
    </row>
    <row r="151" spans="3:40" ht="51" customHeight="1" x14ac:dyDescent="0.25">
      <c r="C151" s="233" t="s">
        <v>137</v>
      </c>
      <c r="D151" s="235">
        <v>1</v>
      </c>
      <c r="E151" s="236"/>
      <c r="F151" s="58"/>
      <c r="G151" s="58"/>
      <c r="H151" s="58"/>
      <c r="I151" s="58"/>
      <c r="J151" s="58"/>
      <c r="L151" s="60"/>
      <c r="O151" s="263" t="s">
        <v>137</v>
      </c>
      <c r="P151" s="236">
        <v>1</v>
      </c>
      <c r="Q151" s="236"/>
    </row>
    <row r="152" spans="3:40" ht="42.75" customHeight="1" x14ac:dyDescent="0.25">
      <c r="C152" s="233"/>
      <c r="D152" s="235">
        <v>0</v>
      </c>
      <c r="E152" s="236"/>
      <c r="F152" s="58"/>
      <c r="G152" s="58"/>
      <c r="H152" s="58"/>
      <c r="I152" s="58"/>
      <c r="J152" s="58"/>
      <c r="L152" s="60"/>
      <c r="N152" s="60"/>
      <c r="O152" s="263"/>
      <c r="P152" s="236">
        <v>0</v>
      </c>
      <c r="Q152" s="236"/>
    </row>
    <row r="153" spans="3:40" ht="42.75" customHeight="1" x14ac:dyDescent="0.25">
      <c r="C153" s="233"/>
      <c r="D153" s="212">
        <v>0</v>
      </c>
      <c r="E153" s="212"/>
      <c r="F153" s="58"/>
      <c r="G153" s="58"/>
      <c r="H153" s="58"/>
      <c r="I153" s="58"/>
      <c r="J153" s="58"/>
      <c r="L153" s="60"/>
      <c r="M153" s="58"/>
      <c r="N153" s="60"/>
      <c r="O153" s="263"/>
      <c r="P153" s="253">
        <v>0</v>
      </c>
      <c r="Q153" s="235"/>
    </row>
    <row r="154" spans="3:40" ht="97.5" customHeight="1" x14ac:dyDescent="0.25">
      <c r="C154" s="93" t="s">
        <v>154</v>
      </c>
      <c r="D154" s="234"/>
      <c r="E154" s="234"/>
      <c r="F154" s="58"/>
      <c r="G154" s="58"/>
      <c r="H154" s="58"/>
      <c r="I154" s="58"/>
      <c r="J154" s="58"/>
      <c r="L154" s="60"/>
      <c r="M154" s="76"/>
      <c r="N154" s="58"/>
      <c r="O154" s="77"/>
      <c r="P154" s="33"/>
      <c r="Q154" s="33"/>
    </row>
    <row r="155" spans="3:40" ht="35.25" customHeight="1" x14ac:dyDescent="0.5">
      <c r="F155" s="58"/>
      <c r="G155" s="58"/>
      <c r="H155" s="58"/>
      <c r="I155" s="58"/>
      <c r="J155" s="58"/>
      <c r="L155" s="60"/>
      <c r="O155" s="58"/>
      <c r="P155" s="154"/>
      <c r="Q155" s="154"/>
    </row>
    <row r="156" spans="3:40" ht="35.25" customHeight="1" x14ac:dyDescent="0.25">
      <c r="F156" s="58"/>
      <c r="G156" s="58"/>
      <c r="H156" s="58"/>
      <c r="I156" s="58"/>
      <c r="J156" s="58"/>
      <c r="L156" s="60"/>
      <c r="O156" s="58"/>
      <c r="P156" s="58"/>
      <c r="Q156" s="58"/>
    </row>
    <row r="157" spans="3:40" ht="48" customHeight="1" x14ac:dyDescent="0.5">
      <c r="F157" s="58"/>
      <c r="G157" s="58"/>
      <c r="H157" s="58"/>
      <c r="I157" s="58"/>
      <c r="J157" s="58"/>
      <c r="L157" s="60"/>
      <c r="M157" s="76"/>
      <c r="N157" s="58"/>
      <c r="P157" s="154"/>
      <c r="Q157" s="154"/>
      <c r="R157" s="154"/>
      <c r="S157" s="154"/>
      <c r="T157" s="154"/>
      <c r="U157" s="154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</row>
    <row r="158" spans="3:40" x14ac:dyDescent="0.25">
      <c r="G158" s="58"/>
      <c r="H158" s="58"/>
      <c r="I158" s="58"/>
      <c r="J158" s="58"/>
      <c r="L158" s="60"/>
      <c r="M158" s="73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</row>
    <row r="159" spans="3:40" ht="31.5" x14ac:dyDescent="0.5">
      <c r="G159" s="58"/>
      <c r="H159" s="58"/>
      <c r="I159" s="58"/>
      <c r="J159" s="58"/>
      <c r="L159" s="60"/>
      <c r="O159" s="239" t="s">
        <v>150</v>
      </c>
      <c r="P159" s="239"/>
      <c r="Q159" s="239"/>
      <c r="R159" s="154"/>
      <c r="S159" s="154"/>
      <c r="T159" s="154"/>
      <c r="U159" s="154"/>
    </row>
    <row r="160" spans="3:40" ht="31.5" x14ac:dyDescent="0.5">
      <c r="G160" s="58"/>
      <c r="H160" s="58"/>
      <c r="I160" s="58"/>
      <c r="J160" s="58"/>
      <c r="L160" s="60"/>
      <c r="O160" s="239"/>
      <c r="P160" s="239"/>
      <c r="Q160" s="239"/>
    </row>
    <row r="161" spans="7:23" x14ac:dyDescent="0.25">
      <c r="G161" s="58"/>
      <c r="H161" s="58"/>
      <c r="I161" s="58"/>
      <c r="J161" s="58"/>
      <c r="L161" s="60"/>
      <c r="N161" s="240" t="s">
        <v>181</v>
      </c>
      <c r="O161" s="240"/>
      <c r="P161" s="240"/>
      <c r="Q161" s="241" t="s">
        <v>122</v>
      </c>
      <c r="R161" s="54"/>
    </row>
    <row r="162" spans="7:23" ht="33.75" customHeight="1" x14ac:dyDescent="0.25">
      <c r="G162" s="58"/>
      <c r="H162" s="58"/>
      <c r="I162" s="58"/>
      <c r="J162" s="58"/>
      <c r="L162" s="60"/>
      <c r="N162" s="240"/>
      <c r="O162" s="240"/>
      <c r="P162" s="240"/>
      <c r="Q162" s="241"/>
      <c r="R162" s="54"/>
      <c r="S162" s="250" t="s">
        <v>46</v>
      </c>
      <c r="T162" s="250"/>
      <c r="U162" s="250"/>
      <c r="V162" s="250"/>
      <c r="W162" s="250"/>
    </row>
    <row r="163" spans="7:23" ht="37.5" customHeight="1" x14ac:dyDescent="0.25">
      <c r="G163" s="58"/>
      <c r="H163" s="58"/>
      <c r="I163" s="58"/>
      <c r="J163" s="58"/>
      <c r="L163" s="60"/>
      <c r="O163" s="274" t="s">
        <v>180</v>
      </c>
      <c r="P163" s="276"/>
      <c r="Q163" s="276"/>
      <c r="S163" s="250"/>
      <c r="T163" s="250"/>
      <c r="U163" s="250"/>
      <c r="V163" s="250"/>
      <c r="W163" s="250"/>
    </row>
    <row r="164" spans="7:23" ht="33.75" x14ac:dyDescent="0.5">
      <c r="G164" s="58"/>
      <c r="H164" s="58"/>
      <c r="I164" s="58"/>
      <c r="J164" s="58"/>
      <c r="L164" s="60"/>
      <c r="O164" s="275"/>
      <c r="P164" s="221"/>
      <c r="Q164" s="221"/>
      <c r="S164" s="227" t="str">
        <f>CONCATENATE("RendMax.= ",((V176*V177*V175)/((V176*V177*V175)+2*P171))*(100)," %")</f>
        <v>RendMax.= 96,7504220758599 %</v>
      </c>
      <c r="T164" s="227"/>
      <c r="U164" s="227"/>
      <c r="V164" s="227"/>
      <c r="W164" s="227"/>
    </row>
    <row r="165" spans="7:23" x14ac:dyDescent="0.25">
      <c r="L165" s="60"/>
      <c r="O165" s="263" t="s">
        <v>176</v>
      </c>
      <c r="P165" s="277"/>
      <c r="Q165" s="278"/>
    </row>
    <row r="166" spans="7:23" ht="41.25" customHeight="1" x14ac:dyDescent="0.25">
      <c r="L166" s="60"/>
      <c r="O166" s="263"/>
      <c r="P166" s="279"/>
      <c r="Q166" s="280"/>
    </row>
    <row r="167" spans="7:23" ht="15" customHeight="1" x14ac:dyDescent="0.25">
      <c r="L167" s="60"/>
      <c r="O167" s="263"/>
      <c r="P167" s="279"/>
      <c r="Q167" s="280"/>
    </row>
    <row r="168" spans="7:23" ht="18.75" customHeight="1" x14ac:dyDescent="0.25">
      <c r="L168" s="60"/>
      <c r="O168" s="263"/>
      <c r="P168" s="281"/>
      <c r="Q168" s="282"/>
    </row>
    <row r="169" spans="7:23" ht="35.25" customHeight="1" x14ac:dyDescent="0.25">
      <c r="L169" s="60"/>
      <c r="O169" s="272" t="s">
        <v>160</v>
      </c>
      <c r="P169" s="273">
        <f>+D117</f>
        <v>200</v>
      </c>
      <c r="Q169" s="273"/>
      <c r="R169" t="str">
        <f>+""</f>
        <v/>
      </c>
    </row>
    <row r="170" spans="7:23" ht="66.75" customHeight="1" x14ac:dyDescent="0.25">
      <c r="L170" s="60"/>
      <c r="O170" s="272"/>
      <c r="P170" s="273"/>
      <c r="Q170" s="273"/>
      <c r="R170" t="str">
        <f>+""</f>
        <v/>
      </c>
    </row>
    <row r="171" spans="7:23" ht="93" customHeight="1" x14ac:dyDescent="0.4">
      <c r="L171" s="60"/>
      <c r="O171" s="152" t="s">
        <v>158</v>
      </c>
      <c r="P171" s="273">
        <f>+D111</f>
        <v>110</v>
      </c>
      <c r="Q171" s="273"/>
      <c r="R171" t="str">
        <f>+""</f>
        <v/>
      </c>
    </row>
    <row r="172" spans="7:23" ht="93" customHeight="1" x14ac:dyDescent="0.4">
      <c r="L172" s="60"/>
      <c r="O172" s="152" t="s">
        <v>156</v>
      </c>
      <c r="P172" s="273">
        <f>+W117</f>
        <v>9.9173553719008267E-2</v>
      </c>
      <c r="Q172" s="273"/>
      <c r="R172" t="str">
        <f>+""</f>
        <v/>
      </c>
    </row>
    <row r="173" spans="7:23" ht="85.5" customHeight="1" x14ac:dyDescent="0.4">
      <c r="L173" s="60"/>
      <c r="O173" s="152" t="s">
        <v>155</v>
      </c>
      <c r="P173" s="251">
        <f>+W118</f>
        <v>0.15238869922933321</v>
      </c>
      <c r="Q173" s="252"/>
      <c r="R173" t="str">
        <f>+""</f>
        <v/>
      </c>
    </row>
    <row r="174" spans="7:23" ht="81.75" customHeight="1" x14ac:dyDescent="0.4">
      <c r="L174" s="60"/>
      <c r="M174" s="43"/>
      <c r="N174" s="5"/>
      <c r="O174" s="155" t="s">
        <v>147</v>
      </c>
      <c r="P174" s="273">
        <v>1</v>
      </c>
      <c r="Q174" s="273"/>
      <c r="R174" s="5"/>
      <c r="S174" s="5"/>
      <c r="T174" s="267" t="s">
        <v>139</v>
      </c>
      <c r="U174" s="267"/>
      <c r="V174" s="268">
        <f>IF(P177=1,0,ACOS(P174)*180/PI())</f>
        <v>0</v>
      </c>
      <c r="W174" s="268"/>
    </row>
    <row r="175" spans="7:23" ht="46.5" customHeight="1" x14ac:dyDescent="0.45">
      <c r="H175" s="75"/>
      <c r="L175" s="60"/>
      <c r="M175" s="43"/>
      <c r="N175" s="5"/>
      <c r="O175" s="269" t="s">
        <v>137</v>
      </c>
      <c r="P175" s="270"/>
      <c r="Q175" s="270"/>
      <c r="R175" s="5"/>
      <c r="S175" s="5"/>
      <c r="T175" s="265" t="s">
        <v>152</v>
      </c>
      <c r="U175" s="266"/>
      <c r="V175" s="268">
        <f>IF(P177=1,1,P174)</f>
        <v>1</v>
      </c>
      <c r="W175" s="268"/>
    </row>
    <row r="176" spans="7:23" ht="46.5" customHeight="1" x14ac:dyDescent="0.35">
      <c r="L176" s="60"/>
      <c r="M176" s="43"/>
      <c r="N176" s="5"/>
      <c r="O176" s="269"/>
      <c r="P176" s="270"/>
      <c r="Q176" s="271"/>
      <c r="R176" s="69"/>
      <c r="S176" s="5"/>
      <c r="T176" s="267" t="s">
        <v>151</v>
      </c>
      <c r="U176" s="267"/>
      <c r="V176" s="268">
        <f>IF(P175=1,ROUND(P169-V177*(P172*COS(RADIANS(V174))+P173*SIN(RADIANS(V174))),2),IF(P176=1,ROUND(P169-V177*(P172*COS(RADIANS(V174))-P173*SIN(RADIANS(V174))),2),IF(P177=1,ROUND(P169-V177*(P172*COS(RADIANS(V174))+P173*SIN(RADIANS(V174))),2),"coloque tipo de carga")))</f>
        <v>196.7</v>
      </c>
      <c r="W176" s="268"/>
    </row>
    <row r="177" spans="12:23" ht="67.5" customHeight="1" x14ac:dyDescent="0.35">
      <c r="L177" s="60"/>
      <c r="M177" s="43"/>
      <c r="N177" s="5"/>
      <c r="O177" s="269"/>
      <c r="P177" s="270">
        <v>1</v>
      </c>
      <c r="Q177" s="271"/>
      <c r="R177" s="5"/>
      <c r="S177" s="5"/>
      <c r="T177" s="267" t="s">
        <v>159</v>
      </c>
      <c r="U177" s="267"/>
      <c r="V177" s="268">
        <f>ROUND(SQRT(P171/P172),2)</f>
        <v>33.299999999999997</v>
      </c>
      <c r="W177" s="268"/>
    </row>
    <row r="178" spans="12:23" ht="42.75" customHeight="1" x14ac:dyDescent="0.25">
      <c r="L178" s="60"/>
      <c r="M178" s="43"/>
      <c r="N178" s="5"/>
      <c r="O178" s="269"/>
      <c r="P178" s="270"/>
      <c r="Q178" s="271"/>
      <c r="R178" s="264"/>
      <c r="S178" s="5"/>
    </row>
    <row r="179" spans="12:23" ht="36" customHeight="1" x14ac:dyDescent="0.25">
      <c r="L179" s="60"/>
      <c r="M179" s="43"/>
      <c r="N179" s="5"/>
      <c r="O179" s="269"/>
      <c r="P179" s="270"/>
      <c r="Q179" s="271"/>
      <c r="R179" s="264"/>
      <c r="S179" s="5"/>
    </row>
    <row r="180" spans="12:23" ht="37.5" customHeight="1" x14ac:dyDescent="0.25">
      <c r="L180" s="60"/>
      <c r="M180" s="43"/>
      <c r="N180" s="5"/>
      <c r="O180" s="5"/>
      <c r="P180" s="5"/>
      <c r="Q180" s="5"/>
      <c r="R180" s="264"/>
      <c r="S180" s="5"/>
    </row>
    <row r="181" spans="12:23" x14ac:dyDescent="0.25">
      <c r="L181" s="60"/>
      <c r="M181" s="43"/>
      <c r="N181" s="5"/>
      <c r="O181" s="5"/>
      <c r="P181" s="5"/>
      <c r="Q181" s="5"/>
      <c r="R181" s="264"/>
      <c r="S181" s="5"/>
    </row>
    <row r="182" spans="12:23" ht="18.75" customHeight="1" x14ac:dyDescent="0.25">
      <c r="L182" s="60"/>
      <c r="M182" s="43"/>
      <c r="N182" s="5"/>
      <c r="O182" s="5"/>
      <c r="P182" s="5"/>
      <c r="Q182" s="5"/>
      <c r="R182" s="264"/>
      <c r="S182" s="5"/>
    </row>
    <row r="183" spans="12:23" x14ac:dyDescent="0.25">
      <c r="L183" s="60"/>
      <c r="M183" s="43"/>
      <c r="N183" s="43"/>
      <c r="O183" s="43"/>
      <c r="P183" s="43"/>
      <c r="Q183" s="43"/>
      <c r="R183" s="43"/>
      <c r="S183" s="43"/>
    </row>
    <row r="184" spans="12:23" x14ac:dyDescent="0.25">
      <c r="L184" s="60"/>
      <c r="M184" s="43"/>
      <c r="N184" s="43"/>
      <c r="O184" s="43"/>
      <c r="P184" s="43"/>
      <c r="Q184" s="43"/>
      <c r="R184" s="43"/>
      <c r="S184" s="43"/>
    </row>
    <row r="185" spans="12:23" x14ac:dyDescent="0.25">
      <c r="L185" s="60"/>
      <c r="M185" s="43"/>
      <c r="N185" s="43"/>
      <c r="O185" s="43"/>
      <c r="P185" s="43"/>
      <c r="Q185" s="43"/>
      <c r="R185" s="43"/>
      <c r="S185" s="43"/>
    </row>
    <row r="186" spans="12:23" x14ac:dyDescent="0.25">
      <c r="L186" s="60"/>
      <c r="M186" s="43"/>
      <c r="N186" s="43"/>
      <c r="O186" s="43"/>
      <c r="P186" s="43"/>
      <c r="Q186" s="43"/>
      <c r="R186" s="43"/>
      <c r="S186" s="43"/>
    </row>
    <row r="187" spans="12:23" x14ac:dyDescent="0.25">
      <c r="L187" s="60"/>
      <c r="M187" s="43"/>
      <c r="N187" s="43"/>
      <c r="O187" s="43"/>
      <c r="P187" s="43"/>
      <c r="Q187" s="43"/>
      <c r="R187" s="43"/>
      <c r="S187" s="43"/>
    </row>
    <row r="188" spans="12:23" x14ac:dyDescent="0.25">
      <c r="M188" s="43"/>
      <c r="N188" s="43"/>
      <c r="O188" s="43"/>
      <c r="P188" s="43"/>
      <c r="Q188" s="43"/>
      <c r="R188" s="43"/>
      <c r="S188" s="43"/>
    </row>
  </sheetData>
  <customSheetViews>
    <customSheetView guid="{3A3E5509-6F94-4D69-A7C4-CEBE4E279804}" scale="40" showGridLines="0" topLeftCell="A157">
      <selection activeCell="I169" sqref="I169"/>
      <pageMargins left="0.7" right="0.7" top="0.75" bottom="0.75" header="0.3" footer="0.3"/>
      <pageSetup paperSize="9" orientation="portrait" horizontalDpi="0" verticalDpi="0" r:id="rId1"/>
    </customSheetView>
  </customSheetViews>
  <mergeCells count="90">
    <mergeCell ref="C114:C115"/>
    <mergeCell ref="A2:C5"/>
    <mergeCell ref="E126:G126"/>
    <mergeCell ref="D145:E145"/>
    <mergeCell ref="D148:E148"/>
    <mergeCell ref="D146:E146"/>
    <mergeCell ref="D147:E147"/>
    <mergeCell ref="D114:D115"/>
    <mergeCell ref="C143:C144"/>
    <mergeCell ref="D143:E144"/>
    <mergeCell ref="D138:E141"/>
    <mergeCell ref="G145:I145"/>
    <mergeCell ref="G143:I143"/>
    <mergeCell ref="C138:C141"/>
    <mergeCell ref="C131:E134"/>
    <mergeCell ref="V174:W174"/>
    <mergeCell ref="T174:U174"/>
    <mergeCell ref="P141:Q142"/>
    <mergeCell ref="O141:O142"/>
    <mergeCell ref="D79:G79"/>
    <mergeCell ref="O79:S79"/>
    <mergeCell ref="E107:H107"/>
    <mergeCell ref="O127:Q128"/>
    <mergeCell ref="O131:P133"/>
    <mergeCell ref="Q131:Q133"/>
    <mergeCell ref="O134:O137"/>
    <mergeCell ref="I120:K120"/>
    <mergeCell ref="P108:S108"/>
    <mergeCell ref="M108:N108"/>
    <mergeCell ref="C108:D108"/>
    <mergeCell ref="F108:I108"/>
    <mergeCell ref="O163:O164"/>
    <mergeCell ref="O165:O168"/>
    <mergeCell ref="P163:Q164"/>
    <mergeCell ref="P165:Q168"/>
    <mergeCell ref="S164:W164"/>
    <mergeCell ref="O175:O179"/>
    <mergeCell ref="P176:Q176"/>
    <mergeCell ref="O169:O170"/>
    <mergeCell ref="P169:Q170"/>
    <mergeCell ref="P171:Q171"/>
    <mergeCell ref="P172:Q172"/>
    <mergeCell ref="P173:Q173"/>
    <mergeCell ref="P175:Q175"/>
    <mergeCell ref="P177:Q179"/>
    <mergeCell ref="P174:Q174"/>
    <mergeCell ref="R178:R182"/>
    <mergeCell ref="T175:U175"/>
    <mergeCell ref="T177:U177"/>
    <mergeCell ref="V177:W177"/>
    <mergeCell ref="V176:W176"/>
    <mergeCell ref="V175:W175"/>
    <mergeCell ref="T176:U176"/>
    <mergeCell ref="D150:E150"/>
    <mergeCell ref="P153:Q153"/>
    <mergeCell ref="T145:W145"/>
    <mergeCell ref="P150:Q150"/>
    <mergeCell ref="P151:Q151"/>
    <mergeCell ref="T147:V147"/>
    <mergeCell ref="T148:V148"/>
    <mergeCell ref="T149:V149"/>
    <mergeCell ref="T150:V150"/>
    <mergeCell ref="P152:Q152"/>
    <mergeCell ref="P147:Q147"/>
    <mergeCell ref="D149:E149"/>
    <mergeCell ref="P148:Q148"/>
    <mergeCell ref="P149:Q149"/>
    <mergeCell ref="O151:O153"/>
    <mergeCell ref="P145:Q145"/>
    <mergeCell ref="BO10:BW13"/>
    <mergeCell ref="AU12:BB13"/>
    <mergeCell ref="O159:Q159"/>
    <mergeCell ref="N161:P162"/>
    <mergeCell ref="Q161:Q162"/>
    <mergeCell ref="O160:Q160"/>
    <mergeCell ref="O138:O140"/>
    <mergeCell ref="AB12:AG13"/>
    <mergeCell ref="P107:T107"/>
    <mergeCell ref="R116:S116"/>
    <mergeCell ref="O126:Q126"/>
    <mergeCell ref="T143:W143"/>
    <mergeCell ref="O143:O144"/>
    <mergeCell ref="P143:Q144"/>
    <mergeCell ref="S162:W163"/>
    <mergeCell ref="P146:Q146"/>
    <mergeCell ref="C151:C153"/>
    <mergeCell ref="D154:E154"/>
    <mergeCell ref="D153:E153"/>
    <mergeCell ref="D151:E151"/>
    <mergeCell ref="D152:E152"/>
  </mergeCells>
  <pageMargins left="0.7" right="0.7" top="0.75" bottom="0.75" header="0.3" footer="0.3"/>
  <pageSetup paperSize="9" orientation="portrait" horizontalDpi="0" verticalDpi="0" r:id="rId2"/>
  <drawing r:id="rId3"/>
  <legacyDrawing r:id="rId4"/>
  <controls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4</xdr:col>
                <xdr:colOff>190500</xdr:colOff>
                <xdr:row>0</xdr:row>
                <xdr:rowOff>276225</xdr:rowOff>
              </from>
              <to>
                <xdr:col>6</xdr:col>
                <xdr:colOff>76200</xdr:colOff>
                <xdr:row>5</xdr:row>
                <xdr:rowOff>161925</xdr:rowOff>
              </to>
            </anchor>
          </controlPr>
        </control>
      </mc:Choice>
      <mc:Fallback>
        <control shapeId="9217" r:id="rId5" name="CommandButton1"/>
      </mc:Fallback>
    </mc:AlternateContent>
    <mc:AlternateContent xmlns:mc="http://schemas.openxmlformats.org/markup-compatibility/2006">
      <mc:Choice Requires="x14">
        <control shapeId="9218" r:id="rId7" name="CommandButton2">
          <controlPr defaultSize="0" autoLine="0" r:id="rId8">
            <anchor moveWithCells="1">
              <from>
                <xdr:col>4</xdr:col>
                <xdr:colOff>209550</xdr:colOff>
                <xdr:row>6</xdr:row>
                <xdr:rowOff>95250</xdr:rowOff>
              </from>
              <to>
                <xdr:col>6</xdr:col>
                <xdr:colOff>76200</xdr:colOff>
                <xdr:row>11</xdr:row>
                <xdr:rowOff>66675</xdr:rowOff>
              </to>
            </anchor>
          </controlPr>
        </control>
      </mc:Choice>
      <mc:Fallback>
        <control shapeId="9218" r:id="rId7" name="CommandButton2"/>
      </mc:Fallback>
    </mc:AlternateContent>
    <mc:AlternateContent xmlns:mc="http://schemas.openxmlformats.org/markup-compatibility/2006">
      <mc:Choice Requires="x14">
        <control shapeId="9219" r:id="rId9" name="CommandButton3">
          <controlPr defaultSize="0" autoLine="0" r:id="rId10">
            <anchor moveWithCells="1">
              <from>
                <xdr:col>3</xdr:col>
                <xdr:colOff>38100</xdr:colOff>
                <xdr:row>150</xdr:row>
                <xdr:rowOff>28575</xdr:rowOff>
              </from>
              <to>
                <xdr:col>5</xdr:col>
                <xdr:colOff>38100</xdr:colOff>
                <xdr:row>150</xdr:row>
                <xdr:rowOff>571500</xdr:rowOff>
              </to>
            </anchor>
          </controlPr>
        </control>
      </mc:Choice>
      <mc:Fallback>
        <control shapeId="9219" r:id="rId9" name="CommandButton3"/>
      </mc:Fallback>
    </mc:AlternateContent>
    <mc:AlternateContent xmlns:mc="http://schemas.openxmlformats.org/markup-compatibility/2006">
      <mc:Choice Requires="x14">
        <control shapeId="9220" r:id="rId11" name="CommandButton4">
          <controlPr defaultSize="0" autoLine="0" r:id="rId12">
            <anchor moveWithCells="1">
              <from>
                <xdr:col>3</xdr:col>
                <xdr:colOff>28575</xdr:colOff>
                <xdr:row>150</xdr:row>
                <xdr:rowOff>619125</xdr:rowOff>
              </from>
              <to>
                <xdr:col>5</xdr:col>
                <xdr:colOff>38100</xdr:colOff>
                <xdr:row>151</xdr:row>
                <xdr:rowOff>495300</xdr:rowOff>
              </to>
            </anchor>
          </controlPr>
        </control>
      </mc:Choice>
      <mc:Fallback>
        <control shapeId="9220" r:id="rId11" name="CommandButton4"/>
      </mc:Fallback>
    </mc:AlternateContent>
    <mc:AlternateContent xmlns:mc="http://schemas.openxmlformats.org/markup-compatibility/2006">
      <mc:Choice Requires="x14">
        <control shapeId="9221" r:id="rId13" name="CommandButton5">
          <controlPr defaultSize="0" autoLine="0" r:id="rId14">
            <anchor moveWithCells="1">
              <from>
                <xdr:col>5</xdr:col>
                <xdr:colOff>123825</xdr:colOff>
                <xdr:row>150</xdr:row>
                <xdr:rowOff>47625</xdr:rowOff>
              </from>
              <to>
                <xdr:col>5</xdr:col>
                <xdr:colOff>876300</xdr:colOff>
                <xdr:row>153</xdr:row>
                <xdr:rowOff>19050</xdr:rowOff>
              </to>
            </anchor>
          </controlPr>
        </control>
      </mc:Choice>
      <mc:Fallback>
        <control shapeId="9221" r:id="rId13" name="CommandButton5"/>
      </mc:Fallback>
    </mc:AlternateContent>
    <mc:AlternateContent xmlns:mc="http://schemas.openxmlformats.org/markup-compatibility/2006">
      <mc:Choice Requires="x14">
        <control shapeId="9222" r:id="rId15" name="CommandButton6">
          <controlPr defaultSize="0" autoLine="0" r:id="rId16">
            <anchor moveWithCells="1">
              <from>
                <xdr:col>6</xdr:col>
                <xdr:colOff>2266950</xdr:colOff>
                <xdr:row>1</xdr:row>
                <xdr:rowOff>47625</xdr:rowOff>
              </from>
              <to>
                <xdr:col>7</xdr:col>
                <xdr:colOff>1352550</xdr:colOff>
                <xdr:row>5</xdr:row>
                <xdr:rowOff>161925</xdr:rowOff>
              </to>
            </anchor>
          </controlPr>
        </control>
      </mc:Choice>
      <mc:Fallback>
        <control shapeId="9222" r:id="rId15" name="CommandButton6"/>
      </mc:Fallback>
    </mc:AlternateContent>
    <mc:AlternateContent xmlns:mc="http://schemas.openxmlformats.org/markup-compatibility/2006">
      <mc:Choice Requires="x14">
        <control shapeId="9223" r:id="rId17" name="CommandButton7">
          <controlPr defaultSize="0" autoLine="0" r:id="rId18">
            <anchor moveWithCells="1">
              <from>
                <xdr:col>6</xdr:col>
                <xdr:colOff>371475</xdr:colOff>
                <xdr:row>3</xdr:row>
                <xdr:rowOff>95250</xdr:rowOff>
              </from>
              <to>
                <xdr:col>6</xdr:col>
                <xdr:colOff>1971675</xdr:colOff>
                <xdr:row>8</xdr:row>
                <xdr:rowOff>114300</xdr:rowOff>
              </to>
            </anchor>
          </controlPr>
        </control>
      </mc:Choice>
      <mc:Fallback>
        <control shapeId="9223" r:id="rId17" name="CommandButton7"/>
      </mc:Fallback>
    </mc:AlternateContent>
    <mc:AlternateContent xmlns:mc="http://schemas.openxmlformats.org/markup-compatibility/2006">
      <mc:Choice Requires="x14">
        <control shapeId="9224" r:id="rId19" name="CommandButton8">
          <controlPr defaultSize="0" autoLine="0" r:id="rId20">
            <anchor moveWithCells="1">
              <from>
                <xdr:col>1</xdr:col>
                <xdr:colOff>390525</xdr:colOff>
                <xdr:row>108</xdr:row>
                <xdr:rowOff>28575</xdr:rowOff>
              </from>
              <to>
                <xdr:col>4</xdr:col>
                <xdr:colOff>0</xdr:colOff>
                <xdr:row>110</xdr:row>
                <xdr:rowOff>9525</xdr:rowOff>
              </to>
            </anchor>
          </controlPr>
        </control>
      </mc:Choice>
      <mc:Fallback>
        <control shapeId="9224" r:id="rId19" name="CommandButton8"/>
      </mc:Fallback>
    </mc:AlternateContent>
    <mc:AlternateContent xmlns:mc="http://schemas.openxmlformats.org/markup-compatibility/2006">
      <mc:Choice Requires="x14">
        <control shapeId="9225" r:id="rId21" name="CommandButton9">
          <controlPr defaultSize="0" autoLine="0" r:id="rId22">
            <anchor moveWithCells="1">
              <from>
                <xdr:col>12</xdr:col>
                <xdr:colOff>123825</xdr:colOff>
                <xdr:row>108</xdr:row>
                <xdr:rowOff>47625</xdr:rowOff>
              </from>
              <to>
                <xdr:col>14</xdr:col>
                <xdr:colOff>28575</xdr:colOff>
                <xdr:row>109</xdr:row>
                <xdr:rowOff>200025</xdr:rowOff>
              </to>
            </anchor>
          </controlPr>
        </control>
      </mc:Choice>
      <mc:Fallback>
        <control shapeId="9225" r:id="rId21" name="CommandButton9"/>
      </mc:Fallback>
    </mc:AlternateContent>
    <mc:AlternateContent xmlns:mc="http://schemas.openxmlformats.org/markup-compatibility/2006">
      <mc:Choice Requires="x14">
        <control shapeId="9226" r:id="rId23" name="CommandButton10">
          <controlPr defaultSize="0" autoLine="0" r:id="rId24">
            <anchor moveWithCells="1">
              <from>
                <xdr:col>2</xdr:col>
                <xdr:colOff>66675</xdr:colOff>
                <xdr:row>133</xdr:row>
                <xdr:rowOff>152400</xdr:rowOff>
              </from>
              <to>
                <xdr:col>5</xdr:col>
                <xdr:colOff>47625</xdr:colOff>
                <xdr:row>136</xdr:row>
                <xdr:rowOff>152400</xdr:rowOff>
              </to>
            </anchor>
          </controlPr>
        </control>
      </mc:Choice>
      <mc:Fallback>
        <control shapeId="9226" r:id="rId23" name="CommandButton10"/>
      </mc:Fallback>
    </mc:AlternateContent>
    <mc:AlternateContent xmlns:mc="http://schemas.openxmlformats.org/markup-compatibility/2006">
      <mc:Choice Requires="x14">
        <control shapeId="9227" r:id="rId25" name="CommandButton11">
          <controlPr defaultSize="0" autoLine="0" r:id="rId26">
            <anchor moveWithCells="1">
              <from>
                <xdr:col>15</xdr:col>
                <xdr:colOff>133350</xdr:colOff>
                <xdr:row>149</xdr:row>
                <xdr:rowOff>1190625</xdr:rowOff>
              </from>
              <to>
                <xdr:col>16</xdr:col>
                <xdr:colOff>1362075</xdr:colOff>
                <xdr:row>151</xdr:row>
                <xdr:rowOff>85725</xdr:rowOff>
              </to>
            </anchor>
          </controlPr>
        </control>
      </mc:Choice>
      <mc:Fallback>
        <control shapeId="9227" r:id="rId25" name="CommandButton11"/>
      </mc:Fallback>
    </mc:AlternateContent>
    <mc:AlternateContent xmlns:mc="http://schemas.openxmlformats.org/markup-compatibility/2006">
      <mc:Choice Requires="x14">
        <control shapeId="9228" r:id="rId27" name="CommandButton13">
          <controlPr defaultSize="0" autoLine="0" autoPict="0" r:id="rId28">
            <anchor moveWithCells="1">
              <from>
                <xdr:col>16</xdr:col>
                <xdr:colOff>1476375</xdr:colOff>
                <xdr:row>149</xdr:row>
                <xdr:rowOff>1228725</xdr:rowOff>
              </from>
              <to>
                <xdr:col>17</xdr:col>
                <xdr:colOff>323850</xdr:colOff>
                <xdr:row>153</xdr:row>
                <xdr:rowOff>733425</xdr:rowOff>
              </to>
            </anchor>
          </controlPr>
        </control>
      </mc:Choice>
      <mc:Fallback>
        <control shapeId="9228" r:id="rId27" name="CommandButton13"/>
      </mc:Fallback>
    </mc:AlternateContent>
    <mc:AlternateContent xmlns:mc="http://schemas.openxmlformats.org/markup-compatibility/2006">
      <mc:Choice Requires="x14">
        <control shapeId="9229" r:id="rId29" name="CommandButton14">
          <controlPr defaultSize="0" autoLine="0" r:id="rId30">
            <anchor moveWithCells="1">
              <from>
                <xdr:col>14</xdr:col>
                <xdr:colOff>38100</xdr:colOff>
                <xdr:row>129</xdr:row>
                <xdr:rowOff>66675</xdr:rowOff>
              </from>
              <to>
                <xdr:col>16</xdr:col>
                <xdr:colOff>3009900</xdr:colOff>
                <xdr:row>129</xdr:row>
                <xdr:rowOff>485775</xdr:rowOff>
              </to>
            </anchor>
          </controlPr>
        </control>
      </mc:Choice>
      <mc:Fallback>
        <control shapeId="9229" r:id="rId29" name="CommandButton14"/>
      </mc:Fallback>
    </mc:AlternateContent>
    <mc:AlternateContent xmlns:mc="http://schemas.openxmlformats.org/markup-compatibility/2006">
      <mc:Choice Requires="x14">
        <control shapeId="9230" r:id="rId31" name="CommandButton15">
          <controlPr defaultSize="0" autoLine="0" r:id="rId32">
            <anchor moveWithCells="1">
              <from>
                <xdr:col>6</xdr:col>
                <xdr:colOff>2247900</xdr:colOff>
                <xdr:row>6</xdr:row>
                <xdr:rowOff>171450</xdr:rowOff>
              </from>
              <to>
                <xdr:col>7</xdr:col>
                <xdr:colOff>1333500</xdr:colOff>
                <xdr:row>11</xdr:row>
                <xdr:rowOff>114300</xdr:rowOff>
              </to>
            </anchor>
          </controlPr>
        </control>
      </mc:Choice>
      <mc:Fallback>
        <control shapeId="9230" r:id="rId31" name="CommandButton15"/>
      </mc:Fallback>
    </mc:AlternateContent>
    <mc:AlternateContent xmlns:mc="http://schemas.openxmlformats.org/markup-compatibility/2006">
      <mc:Choice Requires="x14">
        <control shapeId="9231" r:id="rId33" name="CommandButton16">
          <controlPr defaultSize="0" autoLine="0" r:id="rId34">
            <anchor moveWithCells="1">
              <from>
                <xdr:col>3</xdr:col>
                <xdr:colOff>57150</xdr:colOff>
                <xdr:row>152</xdr:row>
                <xdr:rowOff>47625</xdr:rowOff>
              </from>
              <to>
                <xdr:col>5</xdr:col>
                <xdr:colOff>38100</xdr:colOff>
                <xdr:row>153</xdr:row>
                <xdr:rowOff>19050</xdr:rowOff>
              </to>
            </anchor>
          </controlPr>
        </control>
      </mc:Choice>
      <mc:Fallback>
        <control shapeId="9231" r:id="rId33" name="CommandButton16"/>
      </mc:Fallback>
    </mc:AlternateContent>
    <mc:AlternateContent xmlns:mc="http://schemas.openxmlformats.org/markup-compatibility/2006">
      <mc:Choice Requires="x14">
        <control shapeId="9232" r:id="rId35" name="CommandButton17">
          <controlPr defaultSize="0" autoLine="0" r:id="rId36">
            <anchor moveWithCells="1">
              <from>
                <xdr:col>15</xdr:col>
                <xdr:colOff>142875</xdr:colOff>
                <xdr:row>152</xdr:row>
                <xdr:rowOff>457200</xdr:rowOff>
              </from>
              <to>
                <xdr:col>16</xdr:col>
                <xdr:colOff>1362075</xdr:colOff>
                <xdr:row>153</xdr:row>
                <xdr:rowOff>762000</xdr:rowOff>
              </to>
            </anchor>
          </controlPr>
        </control>
      </mc:Choice>
      <mc:Fallback>
        <control shapeId="9232" r:id="rId35" name="CommandButton17"/>
      </mc:Fallback>
    </mc:AlternateContent>
    <mc:AlternateContent xmlns:mc="http://schemas.openxmlformats.org/markup-compatibility/2006">
      <mc:Choice Requires="x14">
        <control shapeId="9233" r:id="rId37" name="CommandButton18">
          <controlPr defaultSize="0" autoLine="0" r:id="rId38">
            <anchor moveWithCells="1">
              <from>
                <xdr:col>15</xdr:col>
                <xdr:colOff>47625</xdr:colOff>
                <xdr:row>174</xdr:row>
                <xdr:rowOff>9525</xdr:rowOff>
              </from>
              <to>
                <xdr:col>17</xdr:col>
                <xdr:colOff>19050</xdr:colOff>
                <xdr:row>175</xdr:row>
                <xdr:rowOff>238125</xdr:rowOff>
              </to>
            </anchor>
          </controlPr>
        </control>
      </mc:Choice>
      <mc:Fallback>
        <control shapeId="9233" r:id="rId37" name="CommandButton18"/>
      </mc:Fallback>
    </mc:AlternateContent>
    <mc:AlternateContent xmlns:mc="http://schemas.openxmlformats.org/markup-compatibility/2006">
      <mc:Choice Requires="x14">
        <control shapeId="9234" r:id="rId39" name="CommandButton19">
          <controlPr defaultSize="0" autoLine="0" r:id="rId40">
            <anchor moveWithCells="1">
              <from>
                <xdr:col>15</xdr:col>
                <xdr:colOff>47625</xdr:colOff>
                <xdr:row>175</xdr:row>
                <xdr:rowOff>314325</xdr:rowOff>
              </from>
              <to>
                <xdr:col>16</xdr:col>
                <xdr:colOff>3067050</xdr:colOff>
                <xdr:row>176</xdr:row>
                <xdr:rowOff>619125</xdr:rowOff>
              </to>
            </anchor>
          </controlPr>
        </control>
      </mc:Choice>
      <mc:Fallback>
        <control shapeId="9234" r:id="rId39" name="CommandButton19"/>
      </mc:Fallback>
    </mc:AlternateContent>
    <mc:AlternateContent xmlns:mc="http://schemas.openxmlformats.org/markup-compatibility/2006">
      <mc:Choice Requires="x14">
        <control shapeId="9235" r:id="rId41" name="CommandButton20">
          <controlPr defaultSize="0" autoLine="0" r:id="rId42">
            <anchor moveWithCells="1">
              <from>
                <xdr:col>15</xdr:col>
                <xdr:colOff>76200</xdr:colOff>
                <xdr:row>176</xdr:row>
                <xdr:rowOff>685800</xdr:rowOff>
              </from>
              <to>
                <xdr:col>17</xdr:col>
                <xdr:colOff>0</xdr:colOff>
                <xdr:row>179</xdr:row>
                <xdr:rowOff>161925</xdr:rowOff>
              </to>
            </anchor>
          </controlPr>
        </control>
      </mc:Choice>
      <mc:Fallback>
        <control shapeId="9235" r:id="rId41" name="CommandButton20"/>
      </mc:Fallback>
    </mc:AlternateContent>
    <mc:AlternateContent xmlns:mc="http://schemas.openxmlformats.org/markup-compatibility/2006">
      <mc:Choice Requires="x14">
        <control shapeId="9236" r:id="rId43" name="CommandButton21">
          <controlPr defaultSize="0" autoLine="0" autoPict="0" r:id="rId44">
            <anchor moveWithCells="1">
              <from>
                <xdr:col>17</xdr:col>
                <xdr:colOff>104775</xdr:colOff>
                <xdr:row>173</xdr:row>
                <xdr:rowOff>1009650</xdr:rowOff>
              </from>
              <to>
                <xdr:col>18</xdr:col>
                <xdr:colOff>247650</xdr:colOff>
                <xdr:row>179</xdr:row>
                <xdr:rowOff>209550</xdr:rowOff>
              </to>
            </anchor>
          </controlPr>
        </control>
      </mc:Choice>
      <mc:Fallback>
        <control shapeId="9236" r:id="rId43" name="CommandButton21"/>
      </mc:Fallback>
    </mc:AlternateContent>
    <mc:AlternateContent xmlns:mc="http://schemas.openxmlformats.org/markup-compatibility/2006">
      <mc:Choice Requires="x14">
        <control shapeId="9237" r:id="rId45" name="CommandButton12">
          <controlPr defaultSize="0" autoLine="0" r:id="rId46">
            <anchor moveWithCells="1">
              <from>
                <xdr:col>15</xdr:col>
                <xdr:colOff>142875</xdr:colOff>
                <xdr:row>151</xdr:row>
                <xdr:rowOff>152400</xdr:rowOff>
              </from>
              <to>
                <xdr:col>16</xdr:col>
                <xdr:colOff>1333500</xdr:colOff>
                <xdr:row>152</xdr:row>
                <xdr:rowOff>381000</xdr:rowOff>
              </to>
            </anchor>
          </controlPr>
        </control>
      </mc:Choice>
      <mc:Fallback>
        <control shapeId="9237" r:id="rId45" name="CommandButton12"/>
      </mc:Fallback>
    </mc:AlternateContent>
    <mc:AlternateContent xmlns:mc="http://schemas.openxmlformats.org/markup-compatibility/2006">
      <mc:Choice Requires="x14">
        <control shapeId="9238" r:id="rId47" name="CommandButton22">
          <controlPr defaultSize="0" autoLine="0" r:id="rId48">
            <anchor moveWithCells="1">
              <from>
                <xdr:col>14</xdr:col>
                <xdr:colOff>866775</xdr:colOff>
                <xdr:row>159</xdr:row>
                <xdr:rowOff>19050</xdr:rowOff>
              </from>
              <to>
                <xdr:col>16</xdr:col>
                <xdr:colOff>2162175</xdr:colOff>
                <xdr:row>160</xdr:row>
                <xdr:rowOff>47625</xdr:rowOff>
              </to>
            </anchor>
          </controlPr>
        </control>
      </mc:Choice>
      <mc:Fallback>
        <control shapeId="9238" r:id="rId47" name="CommandButton22"/>
      </mc:Fallback>
    </mc:AlternateContent>
    <mc:AlternateContent xmlns:mc="http://schemas.openxmlformats.org/markup-compatibility/2006">
      <mc:Choice Requires="x14">
        <control shapeId="9239" r:id="rId49" name="CommandButton23">
          <controlPr defaultSize="0" autoLine="0" r:id="rId50">
            <anchor moveWithCells="1">
              <from>
                <xdr:col>15</xdr:col>
                <xdr:colOff>123825</xdr:colOff>
                <xdr:row>134</xdr:row>
                <xdr:rowOff>0</xdr:rowOff>
              </from>
              <to>
                <xdr:col>16</xdr:col>
                <xdr:colOff>1000125</xdr:colOff>
                <xdr:row>136</xdr:row>
                <xdr:rowOff>161925</xdr:rowOff>
              </to>
            </anchor>
          </controlPr>
        </control>
      </mc:Choice>
      <mc:Fallback>
        <control shapeId="9239" r:id="rId49" name="CommandButton23"/>
      </mc:Fallback>
    </mc:AlternateContent>
    <mc:AlternateContent xmlns:mc="http://schemas.openxmlformats.org/markup-compatibility/2006">
      <mc:Choice Requires="x14">
        <control shapeId="9240" r:id="rId51" name="CommandButton24">
          <controlPr defaultSize="0" autoLine="0" r:id="rId52">
            <anchor moveWithCells="1">
              <from>
                <xdr:col>16</xdr:col>
                <xdr:colOff>1171575</xdr:colOff>
                <xdr:row>133</xdr:row>
                <xdr:rowOff>161925</xdr:rowOff>
              </from>
              <to>
                <xdr:col>17</xdr:col>
                <xdr:colOff>28575</xdr:colOff>
                <xdr:row>136</xdr:row>
                <xdr:rowOff>133350</xdr:rowOff>
              </to>
            </anchor>
          </controlPr>
        </control>
      </mc:Choice>
      <mc:Fallback>
        <control shapeId="9240" r:id="rId51" name="CommandButton24"/>
      </mc:Fallback>
    </mc:AlternateContent>
    <mc:AlternateContent xmlns:mc="http://schemas.openxmlformats.org/markup-compatibility/2006">
      <mc:Choice Requires="x14">
        <control shapeId="9241" r:id="rId53" name="CommandButton25">
          <controlPr defaultSize="0" autoLine="0" r:id="rId54">
            <anchor moveWithCells="1">
              <from>
                <xdr:col>15</xdr:col>
                <xdr:colOff>133350</xdr:colOff>
                <xdr:row>137</xdr:row>
                <xdr:rowOff>66675</xdr:rowOff>
              </from>
              <to>
                <xdr:col>16</xdr:col>
                <xdr:colOff>990600</xdr:colOff>
                <xdr:row>138</xdr:row>
                <xdr:rowOff>342900</xdr:rowOff>
              </to>
            </anchor>
          </controlPr>
        </control>
      </mc:Choice>
      <mc:Fallback>
        <control shapeId="9241" r:id="rId53" name="CommandButton25"/>
      </mc:Fallback>
    </mc:AlternateContent>
    <mc:AlternateContent xmlns:mc="http://schemas.openxmlformats.org/markup-compatibility/2006">
      <mc:Choice Requires="x14">
        <control shapeId="9242" r:id="rId55" name="CommandButton26">
          <controlPr defaultSize="0" autoLine="0" r:id="rId56">
            <anchor moveWithCells="1">
              <from>
                <xdr:col>16</xdr:col>
                <xdr:colOff>1181100</xdr:colOff>
                <xdr:row>137</xdr:row>
                <xdr:rowOff>66675</xdr:rowOff>
              </from>
              <to>
                <xdr:col>17</xdr:col>
                <xdr:colOff>9525</xdr:colOff>
                <xdr:row>138</xdr:row>
                <xdr:rowOff>352425</xdr:rowOff>
              </to>
            </anchor>
          </controlPr>
        </control>
      </mc:Choice>
      <mc:Fallback>
        <control shapeId="9242" r:id="rId55" name="CommandButton26"/>
      </mc:Fallback>
    </mc:AlternateContent>
    <mc:AlternateContent xmlns:mc="http://schemas.openxmlformats.org/markup-compatibility/2006">
      <mc:Choice Requires="x14">
        <control shapeId="9243" r:id="rId57" name="CommandButton27">
          <controlPr defaultSize="0" autoLine="0" r:id="rId58">
            <anchor moveWithCells="1">
              <from>
                <xdr:col>15</xdr:col>
                <xdr:colOff>38100</xdr:colOff>
                <xdr:row>162</xdr:row>
                <xdr:rowOff>28575</xdr:rowOff>
              </from>
              <to>
                <xdr:col>16</xdr:col>
                <xdr:colOff>981075</xdr:colOff>
                <xdr:row>163</xdr:row>
                <xdr:rowOff>409575</xdr:rowOff>
              </to>
            </anchor>
          </controlPr>
        </control>
      </mc:Choice>
      <mc:Fallback>
        <control shapeId="9243" r:id="rId57" name="CommandButton27"/>
      </mc:Fallback>
    </mc:AlternateContent>
    <mc:AlternateContent xmlns:mc="http://schemas.openxmlformats.org/markup-compatibility/2006">
      <mc:Choice Requires="x14">
        <control shapeId="9244" r:id="rId59" name="CommandButton28">
          <controlPr defaultSize="0" autoLine="0" r:id="rId60">
            <anchor moveWithCells="1">
              <from>
                <xdr:col>15</xdr:col>
                <xdr:colOff>85725</xdr:colOff>
                <xdr:row>164</xdr:row>
                <xdr:rowOff>85725</xdr:rowOff>
              </from>
              <to>
                <xdr:col>16</xdr:col>
                <xdr:colOff>981075</xdr:colOff>
                <xdr:row>167</xdr:row>
                <xdr:rowOff>152400</xdr:rowOff>
              </to>
            </anchor>
          </controlPr>
        </control>
      </mc:Choice>
      <mc:Fallback>
        <control shapeId="9244" r:id="rId59" name="CommandButton28"/>
      </mc:Fallback>
    </mc:AlternateContent>
    <mc:AlternateContent xmlns:mc="http://schemas.openxmlformats.org/markup-compatibility/2006">
      <mc:Choice Requires="x14">
        <control shapeId="9245" r:id="rId61" name="CommandButton29">
          <controlPr defaultSize="0" autoLine="0" r:id="rId62">
            <anchor moveWithCells="1">
              <from>
                <xdr:col>16</xdr:col>
                <xdr:colOff>1104900</xdr:colOff>
                <xdr:row>162</xdr:row>
                <xdr:rowOff>38100</xdr:rowOff>
              </from>
              <to>
                <xdr:col>16</xdr:col>
                <xdr:colOff>3028950</xdr:colOff>
                <xdr:row>163</xdr:row>
                <xdr:rowOff>371475</xdr:rowOff>
              </to>
            </anchor>
          </controlPr>
        </control>
      </mc:Choice>
      <mc:Fallback>
        <control shapeId="9245" r:id="rId61" name="CommandButton29"/>
      </mc:Fallback>
    </mc:AlternateContent>
    <mc:AlternateContent xmlns:mc="http://schemas.openxmlformats.org/markup-compatibility/2006">
      <mc:Choice Requires="x14">
        <control shapeId="9246" r:id="rId63" name="CommandButton30">
          <controlPr defaultSize="0" autoLine="0" r:id="rId64">
            <anchor moveWithCells="1">
              <from>
                <xdr:col>16</xdr:col>
                <xdr:colOff>1057275</xdr:colOff>
                <xdr:row>164</xdr:row>
                <xdr:rowOff>47625</xdr:rowOff>
              </from>
              <to>
                <xdr:col>16</xdr:col>
                <xdr:colOff>3048000</xdr:colOff>
                <xdr:row>167</xdr:row>
                <xdr:rowOff>190500</xdr:rowOff>
              </to>
            </anchor>
          </controlPr>
        </control>
      </mc:Choice>
      <mc:Fallback>
        <control shapeId="9246" r:id="rId63" name="CommandButton30"/>
      </mc:Fallback>
    </mc:AlternateContent>
    <mc:AlternateContent xmlns:mc="http://schemas.openxmlformats.org/markup-compatibility/2006">
      <mc:Choice Requires="x14">
        <control shapeId="9247" r:id="rId65" name="CommandButton31">
          <controlPr defaultSize="0" autoLine="0" r:id="rId66">
            <anchor moveWithCells="1">
              <from>
                <xdr:col>8</xdr:col>
                <xdr:colOff>95250</xdr:colOff>
                <xdr:row>1</xdr:row>
                <xdr:rowOff>66675</xdr:rowOff>
              </from>
              <to>
                <xdr:col>12</xdr:col>
                <xdr:colOff>1162050</xdr:colOff>
                <xdr:row>4</xdr:row>
                <xdr:rowOff>95250</xdr:rowOff>
              </to>
            </anchor>
          </controlPr>
        </control>
      </mc:Choice>
      <mc:Fallback>
        <control shapeId="9247" r:id="rId65" name="CommandButton31"/>
      </mc:Fallback>
    </mc:AlternateContent>
    <mc:AlternateContent xmlns:mc="http://schemas.openxmlformats.org/markup-compatibility/2006">
      <mc:Choice Requires="x14">
        <control shapeId="9248" r:id="rId67" name="CommandButton32">
          <controlPr defaultSize="0" autoLine="0" r:id="rId68">
            <anchor moveWithCells="1">
              <from>
                <xdr:col>33</xdr:col>
                <xdr:colOff>428625</xdr:colOff>
                <xdr:row>9</xdr:row>
                <xdr:rowOff>209550</xdr:rowOff>
              </from>
              <to>
                <xdr:col>35</xdr:col>
                <xdr:colOff>714375</xdr:colOff>
                <xdr:row>18</xdr:row>
                <xdr:rowOff>0</xdr:rowOff>
              </to>
            </anchor>
          </controlPr>
        </control>
      </mc:Choice>
      <mc:Fallback>
        <control shapeId="9248" r:id="rId67" name="CommandButton32"/>
      </mc:Fallback>
    </mc:AlternateContent>
    <mc:AlternateContent xmlns:mc="http://schemas.openxmlformats.org/markup-compatibility/2006">
      <mc:Choice Requires="x14">
        <control shapeId="9249" r:id="rId69" name="CommandButton33">
          <controlPr defaultSize="0" autoLine="0" r:id="rId70">
            <anchor moveWithCells="1">
              <from>
                <xdr:col>12</xdr:col>
                <xdr:colOff>85725</xdr:colOff>
                <xdr:row>117</xdr:row>
                <xdr:rowOff>600075</xdr:rowOff>
              </from>
              <to>
                <xdr:col>14</xdr:col>
                <xdr:colOff>733425</xdr:colOff>
                <xdr:row>120</xdr:row>
                <xdr:rowOff>38100</xdr:rowOff>
              </to>
            </anchor>
          </controlPr>
        </control>
      </mc:Choice>
      <mc:Fallback>
        <control shapeId="9249" r:id="rId69" name="CommandButton33"/>
      </mc:Fallback>
    </mc:AlternateContent>
    <mc:AlternateContent xmlns:mc="http://schemas.openxmlformats.org/markup-compatibility/2006">
      <mc:Choice Requires="x14">
        <control shapeId="9250" r:id="rId71" name="CommandButton34">
          <controlPr defaultSize="0" autoLine="0" r:id="rId72">
            <anchor moveWithCells="1">
              <from>
                <xdr:col>0</xdr:col>
                <xdr:colOff>295275</xdr:colOff>
                <xdr:row>118</xdr:row>
                <xdr:rowOff>247650</xdr:rowOff>
              </from>
              <to>
                <xdr:col>4</xdr:col>
                <xdr:colOff>323850</xdr:colOff>
                <xdr:row>122</xdr:row>
                <xdr:rowOff>57150</xdr:rowOff>
              </to>
            </anchor>
          </controlPr>
        </control>
      </mc:Choice>
      <mc:Fallback>
        <control shapeId="9250" r:id="rId71" name="CommandButton34"/>
      </mc:Fallback>
    </mc:AlternateContent>
    <mc:AlternateContent xmlns:mc="http://schemas.openxmlformats.org/markup-compatibility/2006">
      <mc:Choice Requires="x14">
        <control shapeId="9251" r:id="rId73" name="CommandButton35">
          <controlPr defaultSize="0" autoLine="0" r:id="rId74">
            <anchor moveWithCells="1">
              <from>
                <xdr:col>1</xdr:col>
                <xdr:colOff>314325</xdr:colOff>
                <xdr:row>155</xdr:row>
                <xdr:rowOff>180975</xdr:rowOff>
              </from>
              <to>
                <xdr:col>5</xdr:col>
                <xdr:colOff>314325</xdr:colOff>
                <xdr:row>158</xdr:row>
                <xdr:rowOff>390525</xdr:rowOff>
              </to>
            </anchor>
          </controlPr>
        </control>
      </mc:Choice>
      <mc:Fallback>
        <control shapeId="9251" r:id="rId73" name="CommandButton35"/>
      </mc:Fallback>
    </mc:AlternateContent>
    <mc:AlternateContent xmlns:mc="http://schemas.openxmlformats.org/markup-compatibility/2006">
      <mc:Choice Requires="x14">
        <control shapeId="9252" r:id="rId75" name="CommandButton36">
          <controlPr defaultSize="0" autoLine="0" r:id="rId76">
            <anchor moveWithCells="1">
              <from>
                <xdr:col>12</xdr:col>
                <xdr:colOff>200025</xdr:colOff>
                <xdr:row>153</xdr:row>
                <xdr:rowOff>1209675</xdr:rowOff>
              </from>
              <to>
                <xdr:col>14</xdr:col>
                <xdr:colOff>847725</xdr:colOff>
                <xdr:row>156</xdr:row>
                <xdr:rowOff>504825</xdr:rowOff>
              </to>
            </anchor>
          </controlPr>
        </control>
      </mc:Choice>
      <mc:Fallback>
        <control shapeId="9252" r:id="rId75" name="CommandButton36"/>
      </mc:Fallback>
    </mc:AlternateContent>
    <mc:AlternateContent xmlns:mc="http://schemas.openxmlformats.org/markup-compatibility/2006">
      <mc:Choice Requires="x14">
        <control shapeId="9253" r:id="rId77" name="CommandButton37">
          <controlPr defaultSize="0" autoLine="0" r:id="rId78">
            <anchor moveWithCells="1">
              <from>
                <xdr:col>12</xdr:col>
                <xdr:colOff>466725</xdr:colOff>
                <xdr:row>180</xdr:row>
                <xdr:rowOff>28575</xdr:rowOff>
              </from>
              <to>
                <xdr:col>14</xdr:col>
                <xdr:colOff>1095375</xdr:colOff>
                <xdr:row>187</xdr:row>
                <xdr:rowOff>114300</xdr:rowOff>
              </to>
            </anchor>
          </controlPr>
        </control>
      </mc:Choice>
      <mc:Fallback>
        <control shapeId="9253" r:id="rId77" name="CommandButton37"/>
      </mc:Fallback>
    </mc:AlternateContent>
    <mc:AlternateContent xmlns:mc="http://schemas.openxmlformats.org/markup-compatibility/2006">
      <mc:Choice Requires="x14">
        <control shapeId="9254" r:id="rId79" name="CommandButton38">
          <controlPr defaultSize="0" autoLine="0" r:id="rId80">
            <anchor moveWithCells="1">
              <from>
                <xdr:col>3</xdr:col>
                <xdr:colOff>28575</xdr:colOff>
                <xdr:row>141</xdr:row>
                <xdr:rowOff>0</xdr:rowOff>
              </from>
              <to>
                <xdr:col>3</xdr:col>
                <xdr:colOff>628650</xdr:colOff>
                <xdr:row>141</xdr:row>
                <xdr:rowOff>933450</xdr:rowOff>
              </to>
            </anchor>
          </controlPr>
        </control>
      </mc:Choice>
      <mc:Fallback>
        <control shapeId="9254" r:id="rId79" name="CommandButton38"/>
      </mc:Fallback>
    </mc:AlternateContent>
    <mc:AlternateContent xmlns:mc="http://schemas.openxmlformats.org/markup-compatibility/2006">
      <mc:Choice Requires="x14">
        <control shapeId="9255" r:id="rId81" name="CommandButton39">
          <controlPr defaultSize="0" autoLine="0" r:id="rId82">
            <anchor moveWithCells="1">
              <from>
                <xdr:col>4</xdr:col>
                <xdr:colOff>66675</xdr:colOff>
                <xdr:row>141</xdr:row>
                <xdr:rowOff>0</xdr:rowOff>
              </from>
              <to>
                <xdr:col>5</xdr:col>
                <xdr:colOff>85725</xdr:colOff>
                <xdr:row>141</xdr:row>
                <xdr:rowOff>933450</xdr:rowOff>
              </to>
            </anchor>
          </controlPr>
        </control>
      </mc:Choice>
      <mc:Fallback>
        <control shapeId="9255" r:id="rId81" name="CommandButton39"/>
      </mc:Fallback>
    </mc:AlternateContent>
    <mc:AlternateContent xmlns:mc="http://schemas.openxmlformats.org/markup-compatibility/2006">
      <mc:Choice Requires="x14">
        <control shapeId="9256" r:id="rId83" name="CommandButton40">
          <controlPr defaultSize="0" autoLine="0" r:id="rId84">
            <anchor moveWithCells="1">
              <from>
                <xdr:col>3</xdr:col>
                <xdr:colOff>28575</xdr:colOff>
                <xdr:row>142</xdr:row>
                <xdr:rowOff>19050</xdr:rowOff>
              </from>
              <to>
                <xdr:col>3</xdr:col>
                <xdr:colOff>628650</xdr:colOff>
                <xdr:row>143</xdr:row>
                <xdr:rowOff>600075</xdr:rowOff>
              </to>
            </anchor>
          </controlPr>
        </control>
      </mc:Choice>
      <mc:Fallback>
        <control shapeId="9256" r:id="rId83" name="CommandButton40"/>
      </mc:Fallback>
    </mc:AlternateContent>
    <mc:AlternateContent xmlns:mc="http://schemas.openxmlformats.org/markup-compatibility/2006">
      <mc:Choice Requires="x14">
        <control shapeId="9257" r:id="rId85" name="CommandButton41">
          <controlPr defaultSize="0" autoLine="0" r:id="rId86">
            <anchor moveWithCells="1">
              <from>
                <xdr:col>4</xdr:col>
                <xdr:colOff>47625</xdr:colOff>
                <xdr:row>142</xdr:row>
                <xdr:rowOff>19050</xdr:rowOff>
              </from>
              <to>
                <xdr:col>5</xdr:col>
                <xdr:colOff>66675</xdr:colOff>
                <xdr:row>143</xdr:row>
                <xdr:rowOff>600075</xdr:rowOff>
              </to>
            </anchor>
          </controlPr>
        </control>
      </mc:Choice>
      <mc:Fallback>
        <control shapeId="9257" r:id="rId85" name="CommandButton41"/>
      </mc:Fallback>
    </mc:AlternateContent>
    <mc:AlternateContent xmlns:mc="http://schemas.openxmlformats.org/markup-compatibility/2006">
      <mc:Choice Requires="x14">
        <control shapeId="9259" r:id="rId87" name="CommandButton43">
          <controlPr defaultSize="0" autoLine="0" r:id="rId88">
            <anchor moveWithCells="1">
              <from>
                <xdr:col>8</xdr:col>
                <xdr:colOff>123825</xdr:colOff>
                <xdr:row>4</xdr:row>
                <xdr:rowOff>238125</xdr:rowOff>
              </from>
              <to>
                <xdr:col>12</xdr:col>
                <xdr:colOff>1152525</xdr:colOff>
                <xdr:row>7</xdr:row>
                <xdr:rowOff>190500</xdr:rowOff>
              </to>
            </anchor>
          </controlPr>
        </control>
      </mc:Choice>
      <mc:Fallback>
        <control shapeId="9259" r:id="rId87" name="CommandButton43"/>
      </mc:Fallback>
    </mc:AlternateContent>
    <mc:AlternateContent xmlns:mc="http://schemas.openxmlformats.org/markup-compatibility/2006">
      <mc:Choice Requires="x14">
        <control shapeId="9260" r:id="rId89" name="CommandButton44">
          <controlPr defaultSize="0" autoLine="0" autoPict="0" r:id="rId90">
            <anchor moveWithCells="1">
              <from>
                <xdr:col>8</xdr:col>
                <xdr:colOff>142875</xdr:colOff>
                <xdr:row>8</xdr:row>
                <xdr:rowOff>142875</xdr:rowOff>
              </from>
              <to>
                <xdr:col>13</xdr:col>
                <xdr:colOff>542925</xdr:colOff>
                <xdr:row>11</xdr:row>
                <xdr:rowOff>161925</xdr:rowOff>
              </to>
            </anchor>
          </controlPr>
        </control>
      </mc:Choice>
      <mc:Fallback>
        <control shapeId="9260" r:id="rId89" name="CommandButton44"/>
      </mc:Fallback>
    </mc:AlternateContent>
    <mc:AlternateContent xmlns:mc="http://schemas.openxmlformats.org/markup-compatibility/2006">
      <mc:Choice Requires="x14">
        <control shapeId="9261" r:id="rId91" name="CommandButton42">
          <controlPr defaultSize="0" autoLine="0" r:id="rId92">
            <anchor moveWithCells="1">
              <from>
                <xdr:col>53</xdr:col>
                <xdr:colOff>504825</xdr:colOff>
                <xdr:row>11</xdr:row>
                <xdr:rowOff>19050</xdr:rowOff>
              </from>
              <to>
                <xdr:col>56</xdr:col>
                <xdr:colOff>19050</xdr:colOff>
                <xdr:row>19</xdr:row>
                <xdr:rowOff>66675</xdr:rowOff>
              </to>
            </anchor>
          </controlPr>
        </control>
      </mc:Choice>
      <mc:Fallback>
        <control shapeId="9261" r:id="rId91" name="CommandButton42"/>
      </mc:Fallback>
    </mc:AlternateContent>
    <mc:AlternateContent xmlns:mc="http://schemas.openxmlformats.org/markup-compatibility/2006">
      <mc:Choice Requires="x14">
        <control shapeId="9262" r:id="rId93" name="CommandButton45">
          <controlPr defaultSize="0" autoLine="0" r:id="rId94">
            <anchor moveWithCells="1">
              <from>
                <xdr:col>74</xdr:col>
                <xdr:colOff>666750</xdr:colOff>
                <xdr:row>11</xdr:row>
                <xdr:rowOff>19050</xdr:rowOff>
              </from>
              <to>
                <xdr:col>77</xdr:col>
                <xdr:colOff>190500</xdr:colOff>
                <xdr:row>19</xdr:row>
                <xdr:rowOff>66675</xdr:rowOff>
              </to>
            </anchor>
          </controlPr>
        </control>
      </mc:Choice>
      <mc:Fallback>
        <control shapeId="9262" r:id="rId93" name="CommandButton4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+ y - (NºEXP)</vt:lpstr>
      <vt:lpstr>PASAJES</vt:lpstr>
      <vt:lpstr>LEY DE OHM(EN EXP)</vt:lpstr>
      <vt:lpstr>EST-EST</vt:lpstr>
      <vt:lpstr>EST-EST-Rpat</vt:lpstr>
      <vt:lpstr>EST-TRI</vt:lpstr>
      <vt:lpstr>TRANSF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ferreyra</dc:creator>
  <cp:lastModifiedBy>juan ferreyra</cp:lastModifiedBy>
  <dcterms:created xsi:type="dcterms:W3CDTF">2020-11-09T15:33:36Z</dcterms:created>
  <dcterms:modified xsi:type="dcterms:W3CDTF">2021-07-01T17:01:54Z</dcterms:modified>
</cp:coreProperties>
</file>